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01_活動\05_規程\05_EM10507\01_基準（要領）\EM10507本文\改定作業\9版\230724資材提出用\不使用証明書\"/>
    </mc:Choice>
  </mc:AlternateContent>
  <bookViews>
    <workbookView xWindow="-120" yWindow="-120" windowWidth="19320" windowHeight="6948" tabRatio="765"/>
  </bookViews>
  <sheets>
    <sheet name="Certificate of Non-use" sheetId="71" r:id="rId1"/>
    <sheet name="Example_Japanese" sheetId="83" r:id="rId2"/>
    <sheet name="Example_English" sheetId="86" r:id="rId3"/>
    <sheet name="Example_Chinese" sheetId="87" r:id="rId4"/>
    <sheet name="Appendix 1 " sheetId="76" r:id="rId5"/>
    <sheet name="Example_Appendix 1" sheetId="84" r:id="rId6"/>
    <sheet name="Certificate of Non-use List" sheetId="72" r:id="rId7"/>
  </sheets>
  <externalReferences>
    <externalReference r:id="rId8"/>
    <externalReference r:id="rId9"/>
  </externalReferences>
  <definedNames>
    <definedName name="_12月" localSheetId="0">[1]出荷実績2!#REF!</definedName>
    <definedName name="_12月" localSheetId="5">[1]出荷実績2!#REF!</definedName>
    <definedName name="_12月" localSheetId="3">[1]出荷実績2!#REF!</definedName>
    <definedName name="_12月" localSheetId="2">[1]出荷実績2!#REF!</definedName>
    <definedName name="_12月" localSheetId="1">[1]出荷実績2!#REF!</definedName>
    <definedName name="_12月">[1]出荷実績2!#REF!</definedName>
    <definedName name="aaa" localSheetId="0">[1]出荷実績2!#REF!</definedName>
    <definedName name="aaa" localSheetId="5">[1]出荷実績2!#REF!</definedName>
    <definedName name="aaa" localSheetId="3">[1]出荷実績2!#REF!</definedName>
    <definedName name="aaa" localSheetId="2">[1]出荷実績2!#REF!</definedName>
    <definedName name="aaa" localSheetId="1">[1]出荷実績2!#REF!</definedName>
    <definedName name="aaa">[1]出荷実績2!#REF!</definedName>
    <definedName name="CAT_4ELAP" localSheetId="0">[1]出荷実績2!#REF!</definedName>
    <definedName name="CAT_4ELAP" localSheetId="5">[1]出荷実績2!#REF!</definedName>
    <definedName name="CAT_4ELAP" localSheetId="3">[1]出荷実績2!#REF!</definedName>
    <definedName name="CAT_4ELAP" localSheetId="2">[1]出荷実績2!#REF!</definedName>
    <definedName name="CAT_4ELAP" localSheetId="1">[1]出荷実績2!#REF!</definedName>
    <definedName name="CAT_4ELAP">[1]出荷実績2!#REF!</definedName>
    <definedName name="CAT_4FDL" localSheetId="0">[1]出荷実績2!#REF!</definedName>
    <definedName name="CAT_4FDL" localSheetId="5">[1]出荷実績2!#REF!</definedName>
    <definedName name="CAT_4FDL" localSheetId="3">[1]出荷実績2!#REF!</definedName>
    <definedName name="CAT_4FDL" localSheetId="2">[1]出荷実績2!#REF!</definedName>
    <definedName name="CAT_4FDL" localSheetId="1">[1]出荷実績2!#REF!</definedName>
    <definedName name="CAT_4FDL">[1]出荷実績2!#REF!</definedName>
    <definedName name="CAT_4FDL_Mitel版" localSheetId="0">[1]出荷実績2!#REF!</definedName>
    <definedName name="CAT_4FDL_Mitel版" localSheetId="5">[1]出荷実績2!#REF!</definedName>
    <definedName name="CAT_4FDL_Mitel版" localSheetId="3">[1]出荷実績2!#REF!</definedName>
    <definedName name="CAT_4FDL_Mitel版" localSheetId="2">[1]出荷実績2!#REF!</definedName>
    <definedName name="CAT_4FDL_Mitel版" localSheetId="1">[1]出荷実績2!#REF!</definedName>
    <definedName name="CAT_4FDL_Mitel版">[1]出荷実績2!#REF!</definedName>
    <definedName name="_xlnm.Print_Area" localSheetId="4">'Appendix 1 '!$A$11:$AI$83</definedName>
    <definedName name="_xlnm.Print_Area" localSheetId="0">'Certificate of Non-use'!$A$20:$AF$226</definedName>
    <definedName name="_xlnm.Print_Area" localSheetId="6">'Certificate of Non-use List'!$A$4:$L$33</definedName>
    <definedName name="_xlnm.Print_Area" localSheetId="5">'Example_Appendix 1'!$A$11:$AI$53</definedName>
    <definedName name="_xlnm.Print_Area" localSheetId="3">Example_Chinese!$A$20:$AF$213</definedName>
    <definedName name="_xlnm.Print_Area" localSheetId="2">Example_English!$A$20:$AF$213</definedName>
    <definedName name="_xlnm.Print_Area" localSheetId="1">Example_Japanese!$A$20:$AF$213</definedName>
    <definedName name="sss" localSheetId="0">#REF!</definedName>
    <definedName name="sss" localSheetId="5">#REF!</definedName>
    <definedName name="sss" localSheetId="3">#REF!</definedName>
    <definedName name="sss" localSheetId="2">#REF!</definedName>
    <definedName name="sss" localSheetId="1">#REF!</definedName>
    <definedName name="sss">#REF!</definedName>
    <definedName name="あ" localSheetId="0">[1]出荷実績2!#REF!</definedName>
    <definedName name="あ" localSheetId="6">[1]出荷実績2!#REF!</definedName>
    <definedName name="あ" localSheetId="5">[1]出荷実績2!#REF!</definedName>
    <definedName name="あ" localSheetId="3">[1]出荷実績2!#REF!</definedName>
    <definedName name="あ" localSheetId="2">[1]出荷実績2!#REF!</definedName>
    <definedName name="あ" localSheetId="1">[1]出荷実績2!#REF!</definedName>
    <definedName name="あ">[1]出荷実績2!#REF!</definedName>
    <definedName name="ああ" localSheetId="0">#REF!</definedName>
    <definedName name="ああ" localSheetId="6">#REF!</definedName>
    <definedName name="ああ" localSheetId="5">#REF!</definedName>
    <definedName name="ああ" localSheetId="3">#REF!</definedName>
    <definedName name="ああ" localSheetId="2">#REF!</definedName>
    <definedName name="ああ" localSheetId="1">#REF!</definedName>
    <definedName name="ああ">#REF!</definedName>
    <definedName name="化学物質名">[2]ﾄﾞﾛｯﾌﾟﾀﾞｳﾝ2!$A$2:$A$19</definedName>
    <definedName name="会社">[2]ﾄﾞﾛｯﾌﾟﾀﾞｳﾝ!$A$1:$D$1</definedName>
    <definedName name="単位" localSheetId="0">#REF!</definedName>
    <definedName name="単位" localSheetId="6">#REF!</definedName>
    <definedName name="単位" localSheetId="5">#REF!</definedName>
    <definedName name="単位" localSheetId="3">#REF!</definedName>
    <definedName name="単位" localSheetId="2">#REF!</definedName>
    <definedName name="単位" localSheetId="1">#REF!</definedName>
    <definedName name="単位">#REF!</definedName>
  </definedNames>
  <calcPr calcId="162913"/>
</workbook>
</file>

<file path=xl/calcChain.xml><?xml version="1.0" encoding="utf-8"?>
<calcChain xmlns="http://schemas.openxmlformats.org/spreadsheetml/2006/main">
  <c r="X50" i="76" l="1"/>
  <c r="X49" i="76"/>
  <c r="C50" i="76"/>
  <c r="C49" i="76"/>
  <c r="Q50" i="76"/>
  <c r="Q49" i="76"/>
  <c r="C48" i="76"/>
  <c r="X47" i="76"/>
  <c r="C47" i="76"/>
  <c r="C46" i="76"/>
  <c r="X31" i="76"/>
  <c r="C31" i="76"/>
  <c r="X21" i="76"/>
  <c r="X20" i="76"/>
  <c r="C21" i="76"/>
  <c r="C20" i="76"/>
  <c r="D178" i="71"/>
  <c r="D177" i="71"/>
  <c r="Q162" i="71"/>
  <c r="X128" i="71"/>
  <c r="Q32" i="76"/>
  <c r="C32" i="76"/>
  <c r="D128" i="71"/>
  <c r="X178" i="71"/>
  <c r="Q177" i="71"/>
  <c r="X177" i="71"/>
  <c r="X176" i="71"/>
  <c r="Q176" i="71"/>
  <c r="D176" i="71"/>
  <c r="D127" i="71"/>
  <c r="B81" i="76"/>
  <c r="X46" i="76"/>
  <c r="Q46" i="76"/>
  <c r="Q47" i="76"/>
  <c r="Q48" i="76"/>
  <c r="X138" i="71"/>
  <c r="B14" i="86" l="1"/>
  <c r="B14" i="71" l="1"/>
  <c r="B43" i="71" l="1"/>
  <c r="C224" i="71" l="1"/>
  <c r="C221" i="71"/>
  <c r="D154" i="71" l="1"/>
  <c r="D153" i="71"/>
  <c r="D152" i="71"/>
  <c r="X151" i="71"/>
  <c r="U151" i="71"/>
  <c r="D151" i="71"/>
  <c r="D150" i="71"/>
  <c r="D149" i="71"/>
  <c r="D148" i="71"/>
  <c r="D147" i="71"/>
  <c r="X146" i="71"/>
  <c r="U146" i="71"/>
  <c r="Q146" i="71"/>
  <c r="D146" i="71"/>
  <c r="Q45" i="76" l="1"/>
  <c r="C45" i="76"/>
  <c r="X44" i="76"/>
  <c r="Q44" i="76"/>
  <c r="C44" i="76"/>
  <c r="X43" i="76"/>
  <c r="Q43" i="76"/>
  <c r="C43" i="76"/>
  <c r="X42" i="76"/>
  <c r="Q42" i="76"/>
  <c r="C42" i="76"/>
  <c r="Q41" i="76"/>
  <c r="C41" i="76"/>
  <c r="Q40" i="76"/>
  <c r="Q39" i="76"/>
  <c r="C39" i="76"/>
  <c r="X38" i="76"/>
  <c r="Q38" i="76"/>
  <c r="C38" i="76"/>
  <c r="X37" i="76"/>
  <c r="Q37" i="76"/>
  <c r="C37" i="76"/>
  <c r="X36" i="76"/>
  <c r="Q36" i="76"/>
  <c r="C36" i="76"/>
  <c r="X35" i="76"/>
  <c r="Q35" i="76"/>
  <c r="C35" i="76"/>
  <c r="Q34" i="76"/>
  <c r="C34" i="76"/>
  <c r="Q33" i="76"/>
  <c r="C33" i="76"/>
  <c r="Q31" i="76"/>
  <c r="X30" i="76"/>
  <c r="Q30" i="76"/>
  <c r="Q29" i="76"/>
  <c r="Q28" i="76"/>
  <c r="C28" i="76"/>
  <c r="X27" i="76"/>
  <c r="Q27" i="76"/>
  <c r="C27" i="76"/>
  <c r="X26" i="76"/>
  <c r="Q26" i="76"/>
  <c r="C26" i="76"/>
  <c r="X25" i="76"/>
  <c r="Q25" i="76"/>
  <c r="C25" i="76"/>
  <c r="X24" i="76"/>
  <c r="Q24" i="76"/>
  <c r="C24" i="76"/>
  <c r="Q23" i="76"/>
  <c r="C23" i="76"/>
  <c r="Q22" i="76"/>
  <c r="C22" i="76"/>
  <c r="Q21" i="76"/>
  <c r="AB20" i="76"/>
  <c r="Q20" i="76"/>
  <c r="X19" i="76"/>
  <c r="Q19" i="76"/>
  <c r="C19" i="76"/>
  <c r="X18" i="76"/>
  <c r="Q18" i="76"/>
  <c r="C18" i="76"/>
  <c r="AG17" i="76"/>
  <c r="AE17" i="76"/>
  <c r="X17" i="76"/>
  <c r="Q17" i="76"/>
  <c r="C17" i="76"/>
  <c r="Q181" i="71" l="1"/>
  <c r="D105" i="71"/>
  <c r="D87" i="71"/>
  <c r="Q90" i="71" l="1"/>
  <c r="Q104" i="71" l="1"/>
  <c r="Q99" i="71"/>
  <c r="Q94" i="71"/>
  <c r="Q130" i="71" l="1"/>
  <c r="X166" i="71" l="1"/>
  <c r="Q166" i="71"/>
  <c r="X175" i="71" l="1"/>
  <c r="X107" i="71" l="1"/>
  <c r="D173" i="71" l="1"/>
  <c r="C225" i="71"/>
  <c r="C222" i="71"/>
  <c r="Q77" i="71"/>
  <c r="D208" i="71"/>
  <c r="D207" i="71"/>
  <c r="D175" i="71"/>
  <c r="Q160" i="71"/>
  <c r="Q175" i="71" l="1"/>
  <c r="D206" i="71"/>
  <c r="D205" i="71"/>
  <c r="D166" i="71"/>
  <c r="D174" i="71" l="1"/>
  <c r="D172" i="71"/>
  <c r="D171" i="71"/>
  <c r="D170" i="71"/>
  <c r="D169" i="71"/>
  <c r="D168" i="71"/>
  <c r="D167" i="71"/>
  <c r="Q178" i="71"/>
  <c r="D130" i="71"/>
  <c r="X111" i="71"/>
  <c r="B20" i="87" l="1"/>
  <c r="B20" i="86"/>
  <c r="B20" i="83"/>
  <c r="AC53" i="84"/>
  <c r="Z71" i="87" l="1"/>
  <c r="Z71" i="86"/>
  <c r="Z71" i="83"/>
  <c r="B12" i="76" l="1"/>
  <c r="X127" i="87" l="1"/>
  <c r="X127" i="86"/>
  <c r="X127" i="83"/>
  <c r="X130" i="71"/>
  <c r="B47" i="71" l="1"/>
  <c r="B44" i="71"/>
  <c r="B46" i="71"/>
  <c r="C61" i="71" l="1"/>
  <c r="B4" i="72" l="1"/>
  <c r="D4" i="72"/>
  <c r="D104" i="71" l="1"/>
  <c r="X81" i="71"/>
  <c r="B15" i="84" l="1"/>
  <c r="C75" i="71"/>
  <c r="B21" i="71"/>
  <c r="R50" i="86" l="1"/>
  <c r="A6" i="72"/>
  <c r="D213" i="87" l="1"/>
  <c r="D212" i="87"/>
  <c r="D211" i="87"/>
  <c r="D210" i="87"/>
  <c r="C209" i="87"/>
  <c r="D208" i="87"/>
  <c r="C207" i="87"/>
  <c r="D205" i="87"/>
  <c r="D204" i="87"/>
  <c r="D203" i="87"/>
  <c r="D202" i="87"/>
  <c r="D201" i="87"/>
  <c r="D200" i="87"/>
  <c r="D199" i="87"/>
  <c r="D198" i="87"/>
  <c r="D197" i="87"/>
  <c r="D196" i="87"/>
  <c r="D195" i="87"/>
  <c r="D194" i="87"/>
  <c r="D193" i="87"/>
  <c r="D192" i="87"/>
  <c r="D191" i="87"/>
  <c r="D190" i="87"/>
  <c r="D189" i="87"/>
  <c r="D188" i="87"/>
  <c r="D187" i="87"/>
  <c r="D186" i="87"/>
  <c r="D185" i="87"/>
  <c r="D184" i="87"/>
  <c r="D183" i="87"/>
  <c r="C182" i="87"/>
  <c r="Q180" i="87"/>
  <c r="Q178" i="87"/>
  <c r="D178" i="87"/>
  <c r="X177" i="87"/>
  <c r="Q177" i="87"/>
  <c r="D177" i="87"/>
  <c r="X176" i="87"/>
  <c r="Q176" i="87"/>
  <c r="D176" i="87"/>
  <c r="X175" i="87"/>
  <c r="Q175" i="87"/>
  <c r="D175" i="87"/>
  <c r="X169" i="87"/>
  <c r="Q169" i="87"/>
  <c r="D169" i="87"/>
  <c r="X168" i="87"/>
  <c r="Q168" i="87"/>
  <c r="D168" i="87"/>
  <c r="X167" i="87"/>
  <c r="Q167" i="87"/>
  <c r="D167" i="87"/>
  <c r="X166" i="87"/>
  <c r="Q166" i="87"/>
  <c r="D166" i="87"/>
  <c r="X165" i="87"/>
  <c r="Q165" i="87"/>
  <c r="D165" i="87"/>
  <c r="X164" i="87"/>
  <c r="Q164" i="87"/>
  <c r="D164" i="87"/>
  <c r="X163" i="87"/>
  <c r="Q163" i="87"/>
  <c r="D163" i="87"/>
  <c r="X162" i="87"/>
  <c r="Q162" i="87"/>
  <c r="D162" i="87"/>
  <c r="Q161" i="87"/>
  <c r="D161" i="87"/>
  <c r="X160" i="87"/>
  <c r="Q160" i="87"/>
  <c r="D160" i="87"/>
  <c r="X159" i="87"/>
  <c r="Q159" i="87"/>
  <c r="D159" i="87"/>
  <c r="X158" i="87"/>
  <c r="Q158" i="87"/>
  <c r="D158" i="87"/>
  <c r="X157" i="87"/>
  <c r="Q157" i="87"/>
  <c r="D157" i="87"/>
  <c r="X156" i="87"/>
  <c r="Q156" i="87"/>
  <c r="D156" i="87"/>
  <c r="Q155" i="87"/>
  <c r="Q154" i="87"/>
  <c r="D154" i="87"/>
  <c r="X153" i="87"/>
  <c r="Q153" i="87"/>
  <c r="D153" i="87"/>
  <c r="D152" i="87"/>
  <c r="D151" i="87"/>
  <c r="D150" i="87"/>
  <c r="Z149" i="87"/>
  <c r="Q149" i="87"/>
  <c r="D149" i="87"/>
  <c r="D148" i="87"/>
  <c r="D147" i="87"/>
  <c r="D146" i="87"/>
  <c r="D145" i="87"/>
  <c r="X144" i="87"/>
  <c r="Q144" i="87"/>
  <c r="D144" i="87"/>
  <c r="X135" i="87"/>
  <c r="Q135" i="87"/>
  <c r="D135" i="87"/>
  <c r="Q134" i="87"/>
  <c r="D134" i="87"/>
  <c r="Q133" i="87"/>
  <c r="D133" i="87"/>
  <c r="Q132" i="87"/>
  <c r="D132" i="87"/>
  <c r="Q131" i="87"/>
  <c r="D131" i="87"/>
  <c r="X130" i="87"/>
  <c r="Q130" i="87"/>
  <c r="D130" i="87"/>
  <c r="X129" i="87"/>
  <c r="Q129" i="87"/>
  <c r="D129" i="87"/>
  <c r="X128" i="87"/>
  <c r="Q128" i="87"/>
  <c r="D128" i="87"/>
  <c r="Q127" i="87"/>
  <c r="D127" i="87"/>
  <c r="X126" i="87"/>
  <c r="Q126" i="87"/>
  <c r="D126" i="87"/>
  <c r="X125" i="87"/>
  <c r="Q125" i="87"/>
  <c r="D125" i="87"/>
  <c r="X124" i="87"/>
  <c r="Q124" i="87"/>
  <c r="D124" i="87"/>
  <c r="Q123" i="87"/>
  <c r="D123" i="87"/>
  <c r="X122" i="87"/>
  <c r="Q122" i="87"/>
  <c r="D122" i="87"/>
  <c r="X120" i="87"/>
  <c r="Q120" i="87"/>
  <c r="D120" i="87"/>
  <c r="Q119" i="87"/>
  <c r="D119" i="87"/>
  <c r="X118" i="87"/>
  <c r="Q118" i="87"/>
  <c r="D118" i="87"/>
  <c r="X117" i="87"/>
  <c r="Q117" i="87"/>
  <c r="D117" i="87"/>
  <c r="X116" i="87"/>
  <c r="Q116" i="87"/>
  <c r="D116" i="87"/>
  <c r="X115" i="87"/>
  <c r="Q115" i="87"/>
  <c r="D115" i="87"/>
  <c r="X114" i="87"/>
  <c r="Q114" i="87"/>
  <c r="D114" i="87"/>
  <c r="X113" i="87"/>
  <c r="Q113" i="87"/>
  <c r="D113" i="87"/>
  <c r="X112" i="87"/>
  <c r="Q112" i="87"/>
  <c r="D112" i="87"/>
  <c r="X111" i="87"/>
  <c r="Q111" i="87"/>
  <c r="D111" i="87"/>
  <c r="X110" i="87"/>
  <c r="Q110" i="87"/>
  <c r="D110" i="87"/>
  <c r="X109" i="87"/>
  <c r="Q109" i="87"/>
  <c r="D109" i="87"/>
  <c r="X108" i="87"/>
  <c r="Q108" i="87"/>
  <c r="D108" i="87"/>
  <c r="D105" i="87"/>
  <c r="D104" i="87"/>
  <c r="X103" i="87"/>
  <c r="Q103" i="87"/>
  <c r="D103" i="87"/>
  <c r="D102" i="87"/>
  <c r="D101" i="87"/>
  <c r="D100" i="87"/>
  <c r="D99" i="87"/>
  <c r="X98" i="87"/>
  <c r="Q98" i="87"/>
  <c r="D98" i="87"/>
  <c r="D97" i="87"/>
  <c r="D96" i="87"/>
  <c r="D95" i="87"/>
  <c r="D94" i="87"/>
  <c r="X93" i="87"/>
  <c r="Q93" i="87"/>
  <c r="D93" i="87"/>
  <c r="D92" i="87"/>
  <c r="X91" i="87"/>
  <c r="Q91" i="87"/>
  <c r="X90" i="87"/>
  <c r="Q90" i="87"/>
  <c r="D90" i="87"/>
  <c r="D89" i="87"/>
  <c r="X88" i="87"/>
  <c r="D88" i="87"/>
  <c r="X87" i="87"/>
  <c r="D87" i="87"/>
  <c r="D86" i="87"/>
  <c r="D85" i="87"/>
  <c r="D84" i="87"/>
  <c r="D83" i="87"/>
  <c r="D82" i="87"/>
  <c r="D81" i="87"/>
  <c r="X80" i="87"/>
  <c r="D80" i="87"/>
  <c r="D79" i="87"/>
  <c r="D78" i="87"/>
  <c r="D77" i="87"/>
  <c r="Q76" i="87"/>
  <c r="D76" i="87"/>
  <c r="AC75" i="87"/>
  <c r="X75" i="87"/>
  <c r="Q75" i="87"/>
  <c r="D75" i="87"/>
  <c r="C74" i="87"/>
  <c r="B73" i="87"/>
  <c r="Y64" i="87"/>
  <c r="R64" i="87"/>
  <c r="I64" i="87"/>
  <c r="D64" i="87"/>
  <c r="C62" i="87"/>
  <c r="C61" i="87"/>
  <c r="E59" i="87"/>
  <c r="E57" i="87"/>
  <c r="B56" i="87"/>
  <c r="E54" i="87"/>
  <c r="R52" i="87"/>
  <c r="C52" i="87"/>
  <c r="R51" i="87"/>
  <c r="C51" i="87"/>
  <c r="R50" i="87"/>
  <c r="C50" i="87"/>
  <c r="B49" i="87"/>
  <c r="B46" i="87"/>
  <c r="B44" i="87"/>
  <c r="B33" i="87"/>
  <c r="AD31" i="87"/>
  <c r="Q31" i="87"/>
  <c r="B31" i="87"/>
  <c r="Q30" i="87"/>
  <c r="B30" i="87"/>
  <c r="Q29" i="87"/>
  <c r="B29" i="87"/>
  <c r="Q28" i="87"/>
  <c r="B28" i="87"/>
  <c r="B27" i="87"/>
  <c r="B21" i="87"/>
  <c r="B17" i="87"/>
  <c r="C15" i="87"/>
  <c r="B14" i="87"/>
  <c r="D213" i="86"/>
  <c r="D212" i="86"/>
  <c r="D211" i="86"/>
  <c r="D210" i="86"/>
  <c r="C209" i="86"/>
  <c r="D208" i="86"/>
  <c r="C207" i="86"/>
  <c r="D205" i="86"/>
  <c r="D204" i="86"/>
  <c r="D203" i="86"/>
  <c r="D202" i="86"/>
  <c r="D201" i="86"/>
  <c r="D200" i="86"/>
  <c r="D199" i="86"/>
  <c r="D198" i="86"/>
  <c r="D197" i="86"/>
  <c r="D196" i="86"/>
  <c r="D195" i="86"/>
  <c r="D194" i="86"/>
  <c r="D193" i="86"/>
  <c r="D192" i="86"/>
  <c r="D191" i="86"/>
  <c r="D190" i="86"/>
  <c r="D189" i="86"/>
  <c r="D188" i="86"/>
  <c r="D187" i="86"/>
  <c r="D186" i="86"/>
  <c r="D185" i="86"/>
  <c r="D184" i="86"/>
  <c r="D183" i="86"/>
  <c r="C182" i="86"/>
  <c r="Q180" i="86"/>
  <c r="Q178" i="86"/>
  <c r="D178" i="86"/>
  <c r="X177" i="86"/>
  <c r="Q177" i="86"/>
  <c r="D177" i="86"/>
  <c r="X176" i="86"/>
  <c r="Q176" i="86"/>
  <c r="D176" i="86"/>
  <c r="X175" i="86"/>
  <c r="Q175" i="86"/>
  <c r="D175" i="86"/>
  <c r="X169" i="86"/>
  <c r="Q169" i="86"/>
  <c r="D169" i="86"/>
  <c r="X168" i="86"/>
  <c r="Q168" i="86"/>
  <c r="D168" i="86"/>
  <c r="X167" i="86"/>
  <c r="Q167" i="86"/>
  <c r="D167" i="86"/>
  <c r="X166" i="86"/>
  <c r="Q166" i="86"/>
  <c r="D166" i="86"/>
  <c r="X165" i="86"/>
  <c r="Q165" i="86"/>
  <c r="D165" i="86"/>
  <c r="X164" i="86"/>
  <c r="Q164" i="86"/>
  <c r="D164" i="86"/>
  <c r="X163" i="86"/>
  <c r="Q163" i="86"/>
  <c r="D163" i="86"/>
  <c r="X162" i="86"/>
  <c r="Q162" i="86"/>
  <c r="D162" i="86"/>
  <c r="Q161" i="86"/>
  <c r="D161" i="86"/>
  <c r="X160" i="86"/>
  <c r="Q160" i="86"/>
  <c r="D160" i="86"/>
  <c r="X159" i="86"/>
  <c r="Q159" i="86"/>
  <c r="D159" i="86"/>
  <c r="X158" i="86"/>
  <c r="Q158" i="86"/>
  <c r="D158" i="86"/>
  <c r="X157" i="86"/>
  <c r="Q157" i="86"/>
  <c r="D157" i="86"/>
  <c r="X156" i="86"/>
  <c r="Q156" i="86"/>
  <c r="D156" i="86"/>
  <c r="Q155" i="86"/>
  <c r="Q154" i="86"/>
  <c r="D154" i="86"/>
  <c r="X153" i="86"/>
  <c r="Q153" i="86"/>
  <c r="D153" i="86"/>
  <c r="D152" i="86"/>
  <c r="D151" i="86"/>
  <c r="D150" i="86"/>
  <c r="Z149" i="86"/>
  <c r="Q149" i="86"/>
  <c r="D149" i="86"/>
  <c r="D148" i="86"/>
  <c r="D147" i="86"/>
  <c r="D146" i="86"/>
  <c r="D145" i="86"/>
  <c r="X144" i="86"/>
  <c r="Q144" i="86"/>
  <c r="D144" i="86"/>
  <c r="X135" i="86"/>
  <c r="Q135" i="86"/>
  <c r="D135" i="86"/>
  <c r="Q134" i="86"/>
  <c r="D134" i="86"/>
  <c r="Q133" i="86"/>
  <c r="D133" i="86"/>
  <c r="Q132" i="86"/>
  <c r="D132" i="86"/>
  <c r="Q131" i="86"/>
  <c r="D131" i="86"/>
  <c r="X130" i="86"/>
  <c r="Q130" i="86"/>
  <c r="D130" i="86"/>
  <c r="X129" i="86"/>
  <c r="Q129" i="86"/>
  <c r="D129" i="86"/>
  <c r="X128" i="86"/>
  <c r="Q128" i="86"/>
  <c r="D128" i="86"/>
  <c r="Q127" i="86"/>
  <c r="D127" i="86"/>
  <c r="X126" i="86"/>
  <c r="Q126" i="86"/>
  <c r="D126" i="86"/>
  <c r="X125" i="86"/>
  <c r="Q125" i="86"/>
  <c r="D125" i="86"/>
  <c r="X124" i="86"/>
  <c r="Q124" i="86"/>
  <c r="D124" i="86"/>
  <c r="Q123" i="86"/>
  <c r="D123" i="86"/>
  <c r="X122" i="86"/>
  <c r="Q122" i="86"/>
  <c r="D122" i="86"/>
  <c r="X120" i="86"/>
  <c r="Q120" i="86"/>
  <c r="D120" i="86"/>
  <c r="Q119" i="86"/>
  <c r="D119" i="86"/>
  <c r="X118" i="86"/>
  <c r="Q118" i="86"/>
  <c r="D118" i="86"/>
  <c r="X117" i="86"/>
  <c r="Q117" i="86"/>
  <c r="D117" i="86"/>
  <c r="X116" i="86"/>
  <c r="Q116" i="86"/>
  <c r="D116" i="86"/>
  <c r="X115" i="86"/>
  <c r="Q115" i="86"/>
  <c r="D115" i="86"/>
  <c r="X114" i="86"/>
  <c r="Q114" i="86"/>
  <c r="D114" i="86"/>
  <c r="X113" i="86"/>
  <c r="Q113" i="86"/>
  <c r="D113" i="86"/>
  <c r="X112" i="86"/>
  <c r="Q112" i="86"/>
  <c r="D112" i="86"/>
  <c r="X111" i="86"/>
  <c r="Q111" i="86"/>
  <c r="D111" i="86"/>
  <c r="X110" i="86"/>
  <c r="Q110" i="86"/>
  <c r="D110" i="86"/>
  <c r="X109" i="86"/>
  <c r="Q109" i="86"/>
  <c r="D109" i="86"/>
  <c r="X108" i="86"/>
  <c r="Q108" i="86"/>
  <c r="D108" i="86"/>
  <c r="D105" i="86"/>
  <c r="D104" i="86"/>
  <c r="X103" i="86"/>
  <c r="Q103" i="86"/>
  <c r="D103" i="86"/>
  <c r="D102" i="86"/>
  <c r="D101" i="86"/>
  <c r="D100" i="86"/>
  <c r="D99" i="86"/>
  <c r="X98" i="86"/>
  <c r="Q98" i="86"/>
  <c r="D98" i="86"/>
  <c r="D97" i="86"/>
  <c r="D96" i="86"/>
  <c r="D95" i="86"/>
  <c r="D94" i="86"/>
  <c r="X93" i="86"/>
  <c r="Q93" i="86"/>
  <c r="D93" i="86"/>
  <c r="D92" i="86"/>
  <c r="X91" i="86"/>
  <c r="Q91" i="86"/>
  <c r="X90" i="86"/>
  <c r="Q90" i="86"/>
  <c r="D90" i="86"/>
  <c r="D89" i="86"/>
  <c r="X88" i="86"/>
  <c r="D88" i="86"/>
  <c r="X87" i="86"/>
  <c r="D87" i="86"/>
  <c r="D86" i="86"/>
  <c r="D85" i="86"/>
  <c r="D84" i="86"/>
  <c r="D83" i="86"/>
  <c r="D82" i="86"/>
  <c r="D81" i="86"/>
  <c r="X80" i="86"/>
  <c r="D80" i="86"/>
  <c r="D79" i="86"/>
  <c r="D78" i="86"/>
  <c r="D77" i="86"/>
  <c r="Q76" i="86"/>
  <c r="D76" i="86"/>
  <c r="AC75" i="86"/>
  <c r="X75" i="86"/>
  <c r="Q75" i="86"/>
  <c r="D75" i="86"/>
  <c r="C74" i="86"/>
  <c r="B73" i="86"/>
  <c r="Y64" i="86"/>
  <c r="R64" i="86"/>
  <c r="I64" i="86"/>
  <c r="D64" i="86"/>
  <c r="C62" i="86"/>
  <c r="C61" i="86"/>
  <c r="E59" i="86"/>
  <c r="E57" i="86"/>
  <c r="B56" i="86"/>
  <c r="E54" i="86"/>
  <c r="R52" i="86"/>
  <c r="C52" i="86"/>
  <c r="R51" i="86"/>
  <c r="C51" i="86"/>
  <c r="C50" i="86"/>
  <c r="B49" i="86"/>
  <c r="B46" i="86"/>
  <c r="B44" i="86"/>
  <c r="B33" i="86"/>
  <c r="AD31" i="86"/>
  <c r="Q31" i="86"/>
  <c r="B31" i="86"/>
  <c r="Q30" i="86"/>
  <c r="B30" i="86"/>
  <c r="Q29" i="86"/>
  <c r="B29" i="86"/>
  <c r="Q28" i="86"/>
  <c r="B28" i="86"/>
  <c r="B27" i="86"/>
  <c r="B21" i="86"/>
  <c r="B17" i="86"/>
  <c r="C15" i="86"/>
  <c r="B51" i="84" l="1"/>
  <c r="X46" i="84"/>
  <c r="C46" i="84"/>
  <c r="X45" i="84"/>
  <c r="C45" i="84"/>
  <c r="X44" i="84"/>
  <c r="Q44" i="84"/>
  <c r="C44" i="84"/>
  <c r="Q43" i="84"/>
  <c r="C43" i="84"/>
  <c r="Q42" i="84"/>
  <c r="Q41" i="84"/>
  <c r="C41" i="84"/>
  <c r="X40" i="84"/>
  <c r="Q40" i="84"/>
  <c r="C40" i="84"/>
  <c r="X39" i="84"/>
  <c r="Q39" i="84"/>
  <c r="C39" i="84"/>
  <c r="X38" i="84"/>
  <c r="Q38" i="84"/>
  <c r="C38" i="84"/>
  <c r="X37" i="84"/>
  <c r="Q37" i="84"/>
  <c r="C37" i="84"/>
  <c r="X36" i="84"/>
  <c r="Q36" i="84"/>
  <c r="C36" i="84"/>
  <c r="X35" i="84"/>
  <c r="Q35" i="84"/>
  <c r="C35" i="84"/>
  <c r="X34" i="84"/>
  <c r="Q34" i="84"/>
  <c r="C34" i="84"/>
  <c r="Q33" i="84"/>
  <c r="C33" i="84"/>
  <c r="Q32" i="84"/>
  <c r="C32" i="84"/>
  <c r="Q31" i="84"/>
  <c r="C31" i="84"/>
  <c r="X30" i="84"/>
  <c r="Q30" i="84"/>
  <c r="Q29" i="84"/>
  <c r="Q28" i="84"/>
  <c r="C28" i="84"/>
  <c r="X27" i="84"/>
  <c r="Q27" i="84"/>
  <c r="C27" i="84"/>
  <c r="X26" i="84"/>
  <c r="Q26" i="84"/>
  <c r="C26" i="84"/>
  <c r="X25" i="84"/>
  <c r="Q25" i="84"/>
  <c r="C25" i="84"/>
  <c r="X24" i="84"/>
  <c r="Q24" i="84"/>
  <c r="C24" i="84"/>
  <c r="Q23" i="84"/>
  <c r="C23" i="84"/>
  <c r="Q22" i="84"/>
  <c r="C22" i="84"/>
  <c r="Q21" i="84"/>
  <c r="C21" i="84"/>
  <c r="AB20" i="84"/>
  <c r="Q20" i="84"/>
  <c r="C20" i="84"/>
  <c r="X19" i="84"/>
  <c r="Q19" i="84"/>
  <c r="C19" i="84"/>
  <c r="X18" i="84"/>
  <c r="Q18" i="84"/>
  <c r="C18" i="84"/>
  <c r="AG17" i="84"/>
  <c r="AE17" i="84"/>
  <c r="X17" i="84"/>
  <c r="Q17" i="84"/>
  <c r="C17" i="84"/>
  <c r="AB14" i="84"/>
  <c r="B12" i="84"/>
  <c r="B8" i="84"/>
  <c r="E59" i="83" l="1"/>
  <c r="E57" i="83"/>
  <c r="B56" i="83"/>
  <c r="E54" i="83"/>
  <c r="D213" i="83"/>
  <c r="D212" i="83"/>
  <c r="D211" i="83"/>
  <c r="D210" i="83"/>
  <c r="C209" i="83"/>
  <c r="D208" i="83"/>
  <c r="C207" i="83"/>
  <c r="D205" i="83"/>
  <c r="D204" i="83"/>
  <c r="D203" i="83"/>
  <c r="D202" i="83"/>
  <c r="D201" i="83"/>
  <c r="D200" i="83"/>
  <c r="D199" i="83"/>
  <c r="D198" i="83"/>
  <c r="D197" i="83"/>
  <c r="D196" i="83"/>
  <c r="D195" i="83"/>
  <c r="D194" i="83"/>
  <c r="D193" i="83"/>
  <c r="D192" i="83"/>
  <c r="D191" i="83"/>
  <c r="D190" i="83"/>
  <c r="D189" i="83"/>
  <c r="D188" i="83"/>
  <c r="D187" i="83"/>
  <c r="D186" i="83"/>
  <c r="D185" i="83"/>
  <c r="D184" i="83"/>
  <c r="D183" i="83"/>
  <c r="C182" i="83"/>
  <c r="Q180" i="83"/>
  <c r="Q178" i="83"/>
  <c r="D178" i="83"/>
  <c r="X177" i="83"/>
  <c r="Q177" i="83"/>
  <c r="D177" i="83"/>
  <c r="X176" i="83"/>
  <c r="Q176" i="83"/>
  <c r="D176" i="83"/>
  <c r="X175" i="83"/>
  <c r="Q175" i="83"/>
  <c r="D175" i="83"/>
  <c r="X169" i="83"/>
  <c r="Q169" i="83"/>
  <c r="D169" i="83"/>
  <c r="X168" i="83"/>
  <c r="Q168" i="83"/>
  <c r="D168" i="83"/>
  <c r="X167" i="83"/>
  <c r="Q167" i="83"/>
  <c r="D167" i="83"/>
  <c r="X166" i="83"/>
  <c r="Q166" i="83"/>
  <c r="D166" i="83"/>
  <c r="X165" i="83"/>
  <c r="Q165" i="83"/>
  <c r="D165" i="83"/>
  <c r="X164" i="83"/>
  <c r="Q164" i="83"/>
  <c r="D164" i="83"/>
  <c r="X163" i="83"/>
  <c r="Q163" i="83"/>
  <c r="D163" i="83"/>
  <c r="X162" i="83"/>
  <c r="Q162" i="83"/>
  <c r="D162" i="83"/>
  <c r="Q161" i="83"/>
  <c r="D161" i="83"/>
  <c r="X160" i="83"/>
  <c r="Q160" i="83"/>
  <c r="D160" i="83"/>
  <c r="X159" i="83"/>
  <c r="Q159" i="83"/>
  <c r="D159" i="83"/>
  <c r="X158" i="83"/>
  <c r="Q158" i="83"/>
  <c r="D158" i="83"/>
  <c r="X157" i="83"/>
  <c r="Q157" i="83"/>
  <c r="D157" i="83"/>
  <c r="X156" i="83"/>
  <c r="Q156" i="83"/>
  <c r="D156" i="83"/>
  <c r="Q155" i="83"/>
  <c r="Q154" i="83"/>
  <c r="D154" i="83"/>
  <c r="X153" i="83"/>
  <c r="Q153" i="83"/>
  <c r="D153" i="83"/>
  <c r="D152" i="83"/>
  <c r="D151" i="83"/>
  <c r="D150" i="83"/>
  <c r="Z149" i="83"/>
  <c r="Q149" i="83"/>
  <c r="D149" i="83"/>
  <c r="D148" i="83"/>
  <c r="D147" i="83"/>
  <c r="D146" i="83"/>
  <c r="D145" i="83"/>
  <c r="X144" i="83"/>
  <c r="Q144" i="83"/>
  <c r="D144" i="83"/>
  <c r="X135" i="83"/>
  <c r="Q135" i="83"/>
  <c r="D135" i="83"/>
  <c r="Q134" i="83"/>
  <c r="D134" i="83"/>
  <c r="Q133" i="83"/>
  <c r="D133" i="83"/>
  <c r="Q132" i="83"/>
  <c r="D132" i="83"/>
  <c r="Q131" i="83"/>
  <c r="D131" i="83"/>
  <c r="X130" i="83"/>
  <c r="Q130" i="83"/>
  <c r="D130" i="83"/>
  <c r="X129" i="83"/>
  <c r="Q129" i="83"/>
  <c r="D129" i="83"/>
  <c r="X128" i="83"/>
  <c r="Q128" i="83"/>
  <c r="D128" i="83"/>
  <c r="Q127" i="83"/>
  <c r="D127" i="83"/>
  <c r="X126" i="83"/>
  <c r="Q126" i="83"/>
  <c r="D126" i="83"/>
  <c r="X125" i="83"/>
  <c r="Q125" i="83"/>
  <c r="D125" i="83"/>
  <c r="X124" i="83"/>
  <c r="Q124" i="83"/>
  <c r="D124" i="83"/>
  <c r="Q123" i="83"/>
  <c r="D123" i="83"/>
  <c r="X122" i="83"/>
  <c r="Q122" i="83"/>
  <c r="D122" i="83"/>
  <c r="X120" i="83"/>
  <c r="Q120" i="83"/>
  <c r="D120" i="83"/>
  <c r="Q119" i="83"/>
  <c r="D119" i="83"/>
  <c r="X118" i="83"/>
  <c r="Q118" i="83"/>
  <c r="D118" i="83"/>
  <c r="X117" i="83"/>
  <c r="Q117" i="83"/>
  <c r="D117" i="83"/>
  <c r="X116" i="83"/>
  <c r="Q116" i="83"/>
  <c r="D116" i="83"/>
  <c r="X115" i="83"/>
  <c r="Q115" i="83"/>
  <c r="D115" i="83"/>
  <c r="X114" i="83"/>
  <c r="Q114" i="83"/>
  <c r="D114" i="83"/>
  <c r="X113" i="83"/>
  <c r="Q113" i="83"/>
  <c r="D113" i="83"/>
  <c r="X112" i="83"/>
  <c r="Q112" i="83"/>
  <c r="D112" i="83"/>
  <c r="X111" i="83"/>
  <c r="Q111" i="83"/>
  <c r="D111" i="83"/>
  <c r="X110" i="83"/>
  <c r="Q110" i="83"/>
  <c r="D110" i="83"/>
  <c r="X109" i="83"/>
  <c r="Q109" i="83"/>
  <c r="D109" i="83"/>
  <c r="X108" i="83"/>
  <c r="Q108" i="83"/>
  <c r="D108" i="83"/>
  <c r="D105" i="83"/>
  <c r="D104" i="83"/>
  <c r="X103" i="83"/>
  <c r="Q103" i="83"/>
  <c r="D103" i="83"/>
  <c r="D102" i="83"/>
  <c r="D101" i="83"/>
  <c r="D100" i="83"/>
  <c r="D99" i="83"/>
  <c r="X98" i="83"/>
  <c r="Q98" i="83"/>
  <c r="D98" i="83"/>
  <c r="D97" i="83"/>
  <c r="D96" i="83"/>
  <c r="D95" i="83"/>
  <c r="D94" i="83"/>
  <c r="X93" i="83"/>
  <c r="Q93" i="83"/>
  <c r="D93" i="83"/>
  <c r="D92" i="83"/>
  <c r="X91" i="83"/>
  <c r="Q91" i="83"/>
  <c r="X90" i="83"/>
  <c r="Q90" i="83"/>
  <c r="D90" i="83"/>
  <c r="D89" i="83"/>
  <c r="X88" i="83"/>
  <c r="D88" i="83"/>
  <c r="X87" i="83"/>
  <c r="D87" i="83"/>
  <c r="D86" i="83"/>
  <c r="D85" i="83"/>
  <c r="D84" i="83"/>
  <c r="D83" i="83"/>
  <c r="D82" i="83"/>
  <c r="D81" i="83"/>
  <c r="X80" i="83"/>
  <c r="D80" i="83"/>
  <c r="D79" i="83"/>
  <c r="D78" i="83"/>
  <c r="D77" i="83"/>
  <c r="Q76" i="83"/>
  <c r="D76" i="83"/>
  <c r="AC75" i="83"/>
  <c r="X75" i="83"/>
  <c r="Q75" i="83"/>
  <c r="D75" i="83"/>
  <c r="C74" i="83"/>
  <c r="B73" i="83"/>
  <c r="Y64" i="83"/>
  <c r="R64" i="83"/>
  <c r="I64" i="83"/>
  <c r="D64" i="83"/>
  <c r="C62" i="83"/>
  <c r="C61" i="83"/>
  <c r="R52" i="83"/>
  <c r="C52" i="83"/>
  <c r="R51" i="83"/>
  <c r="C51" i="83"/>
  <c r="R50" i="83"/>
  <c r="C50" i="83"/>
  <c r="B49" i="83"/>
  <c r="B46" i="83"/>
  <c r="B44" i="83"/>
  <c r="B33" i="83"/>
  <c r="AD31" i="83"/>
  <c r="Q31" i="83"/>
  <c r="B31" i="83"/>
  <c r="Q30" i="83"/>
  <c r="B30" i="83"/>
  <c r="Q29" i="83"/>
  <c r="B29" i="83"/>
  <c r="Q28" i="83"/>
  <c r="B28" i="83"/>
  <c r="B27" i="83"/>
  <c r="B21" i="83"/>
  <c r="B17" i="83"/>
  <c r="C15" i="83"/>
  <c r="B14" i="83"/>
  <c r="AC76" i="71"/>
  <c r="B15" i="76"/>
  <c r="B8" i="76"/>
  <c r="X162" i="71"/>
  <c r="Q179" i="71"/>
  <c r="D179" i="71"/>
  <c r="D165" i="71"/>
  <c r="D164" i="71"/>
  <c r="D163" i="71"/>
  <c r="D162" i="71"/>
  <c r="X129" i="71"/>
  <c r="Q129" i="71"/>
  <c r="X92" i="71"/>
  <c r="X91" i="71"/>
  <c r="Q92" i="71"/>
  <c r="Q91" i="71"/>
  <c r="D91" i="71"/>
  <c r="D88" i="71"/>
  <c r="D89" i="71"/>
  <c r="X89" i="71"/>
  <c r="D81" i="71"/>
  <c r="E54" i="71" l="1"/>
  <c r="B17" i="71"/>
  <c r="D159" i="71" l="1"/>
  <c r="D158" i="71"/>
  <c r="D137" i="71"/>
  <c r="D135" i="71"/>
  <c r="D136" i="71"/>
  <c r="B45" i="71" l="1"/>
  <c r="B33" i="71" l="1"/>
  <c r="C15" i="71" l="1"/>
  <c r="X174" i="71" l="1"/>
  <c r="X173" i="71"/>
  <c r="X172" i="71"/>
  <c r="X171" i="71"/>
  <c r="X170" i="71"/>
  <c r="X169" i="71"/>
  <c r="X168" i="71"/>
  <c r="X167" i="71"/>
  <c r="X165" i="71"/>
  <c r="X164" i="71"/>
  <c r="Q174" i="71"/>
  <c r="Q173" i="71"/>
  <c r="Q172" i="71"/>
  <c r="Q171" i="71"/>
  <c r="Q170" i="71"/>
  <c r="Q169" i="71"/>
  <c r="Q168" i="71"/>
  <c r="Q167" i="71"/>
  <c r="Q165" i="71"/>
  <c r="Q164" i="71"/>
  <c r="Q163" i="71"/>
  <c r="D64" i="71"/>
  <c r="D161" i="71"/>
  <c r="D156" i="71"/>
  <c r="D134" i="71"/>
  <c r="D133" i="71"/>
  <c r="D132" i="71"/>
  <c r="D131" i="71"/>
  <c r="D122" i="71"/>
  <c r="D117" i="71"/>
  <c r="D114" i="71"/>
  <c r="D106" i="71"/>
  <c r="D102" i="71"/>
  <c r="D101" i="71"/>
  <c r="D100" i="71"/>
  <c r="D99" i="71"/>
  <c r="R64" i="71"/>
  <c r="C52" i="71"/>
  <c r="R51" i="71"/>
  <c r="D97" i="71"/>
  <c r="D96" i="71"/>
  <c r="D95" i="71"/>
  <c r="D94" i="71"/>
  <c r="D219" i="71"/>
  <c r="D218" i="71"/>
  <c r="D217" i="71"/>
  <c r="X88" i="71" l="1"/>
  <c r="D83" i="71" l="1"/>
  <c r="D78" i="71"/>
  <c r="Q31" i="71" l="1"/>
  <c r="E59" i="71" l="1"/>
  <c r="E57" i="71"/>
  <c r="D111" i="71" l="1"/>
  <c r="AB14" i="76" l="1"/>
  <c r="E10" i="72" l="1"/>
  <c r="B32" i="72" l="1"/>
  <c r="H10" i="72"/>
  <c r="H8" i="72"/>
  <c r="J5" i="72"/>
  <c r="K11" i="72"/>
  <c r="H11" i="72"/>
  <c r="I11" i="72"/>
  <c r="F10" i="72" l="1"/>
  <c r="D10" i="72"/>
  <c r="B10" i="72"/>
  <c r="C10" i="72"/>
  <c r="G10" i="72"/>
  <c r="X160" i="71" l="1"/>
  <c r="Q159" i="71"/>
  <c r="Q158" i="71"/>
  <c r="Q157" i="71"/>
  <c r="Q156" i="71"/>
  <c r="Q137" i="71"/>
  <c r="Q136" i="71"/>
  <c r="Q126" i="71"/>
  <c r="X125" i="71"/>
  <c r="Q122" i="71"/>
  <c r="Q125" i="71"/>
  <c r="X122" i="71"/>
  <c r="Q120" i="71"/>
  <c r="Q119" i="71"/>
  <c r="X120" i="71"/>
  <c r="X119" i="71"/>
  <c r="X118" i="71"/>
  <c r="X117" i="71"/>
  <c r="X161" i="71" l="1"/>
  <c r="X159" i="71"/>
  <c r="X158" i="71"/>
  <c r="X155" i="71"/>
  <c r="X131" i="71"/>
  <c r="X127" i="71"/>
  <c r="X116" i="71"/>
  <c r="X115" i="71"/>
  <c r="X133" i="71" l="1"/>
  <c r="X132" i="71"/>
  <c r="X114" i="71"/>
  <c r="Q161" i="71"/>
  <c r="Q155" i="71"/>
  <c r="Q138" i="71"/>
  <c r="Q135" i="71"/>
  <c r="Q134" i="71"/>
  <c r="Q133" i="71"/>
  <c r="Q132" i="71"/>
  <c r="Q131" i="71"/>
  <c r="Q128" i="71"/>
  <c r="Q127" i="71"/>
  <c r="Q121" i="71"/>
  <c r="Q118" i="71"/>
  <c r="Q117" i="71"/>
  <c r="Q116" i="71"/>
  <c r="Q115" i="71"/>
  <c r="Q114" i="71"/>
  <c r="B56" i="71"/>
  <c r="B49" i="71"/>
  <c r="D216" i="71" l="1"/>
  <c r="D184" i="71"/>
  <c r="C215" i="71" l="1"/>
  <c r="C213" i="71"/>
  <c r="C212" i="71"/>
  <c r="C183" i="71"/>
  <c r="D204" i="71"/>
  <c r="D203" i="71"/>
  <c r="D202" i="71"/>
  <c r="D201" i="71"/>
  <c r="D200" i="71"/>
  <c r="D199" i="71"/>
  <c r="D198" i="71"/>
  <c r="D197" i="71"/>
  <c r="D196" i="71"/>
  <c r="D195" i="71"/>
  <c r="D194" i="71"/>
  <c r="D193" i="71"/>
  <c r="D192" i="71"/>
  <c r="D191" i="71"/>
  <c r="D190" i="71"/>
  <c r="D189" i="71"/>
  <c r="D188" i="71"/>
  <c r="D187" i="71"/>
  <c r="D186" i="71"/>
  <c r="D185" i="71"/>
  <c r="D160" i="71" l="1"/>
  <c r="D155" i="71"/>
  <c r="D138" i="71"/>
  <c r="D129" i="71"/>
  <c r="D126" i="71"/>
  <c r="D125" i="71"/>
  <c r="D121" i="71"/>
  <c r="D120" i="71"/>
  <c r="D119" i="71"/>
  <c r="D118" i="71"/>
  <c r="D116" i="71"/>
  <c r="X112" i="71"/>
  <c r="D115" i="71"/>
  <c r="D113" i="71" l="1"/>
  <c r="D112" i="71"/>
  <c r="D107" i="71"/>
  <c r="Q113" i="71"/>
  <c r="Q112" i="71"/>
  <c r="Q111" i="71"/>
  <c r="Q107" i="71"/>
  <c r="X113" i="71"/>
  <c r="X104" i="71"/>
  <c r="D103" i="71"/>
  <c r="X99" i="71"/>
  <c r="X94" i="71"/>
  <c r="D98" i="71"/>
  <c r="D82" i="71"/>
  <c r="D93" i="71"/>
  <c r="D90" i="71"/>
  <c r="D86" i="71"/>
  <c r="D84" i="71"/>
  <c r="D85" i="71"/>
  <c r="Q76" i="71"/>
  <c r="X76" i="71"/>
  <c r="D80" i="71"/>
  <c r="D79" i="71"/>
  <c r="D77" i="71"/>
  <c r="D76" i="71"/>
  <c r="B74" i="71"/>
  <c r="Q30" i="71"/>
  <c r="Y64" i="71"/>
  <c r="I64" i="71"/>
  <c r="C62" i="71"/>
  <c r="R52" i="71"/>
  <c r="R50" i="71"/>
  <c r="C51" i="71"/>
  <c r="C50" i="71"/>
  <c r="B27" i="71"/>
  <c r="AD31" i="71"/>
  <c r="Q29" i="71"/>
  <c r="Q28" i="71"/>
  <c r="B31" i="71"/>
  <c r="B30" i="71"/>
  <c r="B29" i="71"/>
  <c r="B28" i="71"/>
</calcChain>
</file>

<file path=xl/sharedStrings.xml><?xml version="1.0" encoding="utf-8"?>
<sst xmlns="http://schemas.openxmlformats.org/spreadsheetml/2006/main" count="444" uniqueCount="88">
  <si>
    <t>7-2</t>
    <phoneticPr fontId="6"/>
  </si>
  <si>
    <t>90-04-0</t>
  </si>
  <si>
    <t>91-59-8</t>
  </si>
  <si>
    <t>91-94-1</t>
  </si>
  <si>
    <t>92-67-1</t>
  </si>
  <si>
    <t>92-87-5</t>
  </si>
  <si>
    <t>95-53-4</t>
  </si>
  <si>
    <t>95-69-2</t>
  </si>
  <si>
    <t>95-80-7</t>
  </si>
  <si>
    <t>97-56-3</t>
  </si>
  <si>
    <t>99-55-8</t>
  </si>
  <si>
    <t>101-14-4</t>
  </si>
  <si>
    <t>101-77-9</t>
  </si>
  <si>
    <t>101-80-4</t>
  </si>
  <si>
    <t>106-47-8</t>
  </si>
  <si>
    <t>119-90-4</t>
  </si>
  <si>
    <t>119-93-7</t>
  </si>
  <si>
    <t>120-71-8</t>
  </si>
  <si>
    <t>137-17-7</t>
  </si>
  <si>
    <t>139-65-1</t>
  </si>
  <si>
    <t>615-05-4</t>
  </si>
  <si>
    <t>838-88-0</t>
  </si>
  <si>
    <t>81161-70-8</t>
  </si>
  <si>
    <t>99688-47-8</t>
  </si>
  <si>
    <t xml:space="preserve">  </t>
    <phoneticPr fontId="4"/>
  </si>
  <si>
    <t xml:space="preserve">    </t>
    <phoneticPr fontId="4"/>
  </si>
  <si>
    <t>60-09-3</t>
    <phoneticPr fontId="6"/>
  </si>
  <si>
    <t>7-1</t>
    <phoneticPr fontId="6"/>
  </si>
  <si>
    <t>https://eur-lex.europa.eu/legal-content/EN/TXT/PDF/?uri=CELEX:02011L0065-20190722&amp;qid=1570766834196&amp;from=EN</t>
    <phoneticPr fontId="2"/>
  </si>
  <si>
    <t xml:space="preserve">  </t>
    <phoneticPr fontId="4"/>
  </si>
  <si>
    <t>CAS No.</t>
    <phoneticPr fontId="2"/>
  </si>
  <si>
    <t>English</t>
    <phoneticPr fontId="2"/>
  </si>
  <si>
    <t>日本語</t>
    <rPh sb="0" eb="3">
      <t>ニホンゴ</t>
    </rPh>
    <phoneticPr fontId="2"/>
  </si>
  <si>
    <t>中文</t>
    <rPh sb="0" eb="2">
      <t>チュウブン</t>
    </rPh>
    <phoneticPr fontId="2"/>
  </si>
  <si>
    <t>7-1</t>
    <phoneticPr fontId="6"/>
  </si>
  <si>
    <t>60-09-3</t>
    <phoneticPr fontId="6"/>
  </si>
  <si>
    <t>言語を選択ください / First, select the language you use. / 请选择一种语言</t>
    <phoneticPr fontId="2"/>
  </si>
  <si>
    <t>No.</t>
    <phoneticPr fontId="4"/>
  </si>
  <si>
    <t>　</t>
    <phoneticPr fontId="2"/>
  </si>
  <si>
    <t>１、言語を選択ください / First, select the language you use. / 请选择一种语言</t>
    <phoneticPr fontId="2"/>
  </si>
  <si>
    <t>76253-60-6</t>
    <phoneticPr fontId="2"/>
  </si>
  <si>
    <t>CAS RN</t>
  </si>
  <si>
    <t>No.</t>
    <phoneticPr fontId="2"/>
  </si>
  <si>
    <t>無し / without / 无</t>
    <rPh sb="0" eb="1">
      <t>ナ</t>
    </rPh>
    <phoneticPr fontId="2"/>
  </si>
  <si>
    <t>有り / with / 是</t>
    <rPh sb="0" eb="1">
      <t>ア</t>
    </rPh>
    <phoneticPr fontId="2"/>
  </si>
  <si>
    <t>1、言語を選択ください / First, select the language you use. / 请选择一种语言</t>
    <phoneticPr fontId="2"/>
  </si>
  <si>
    <t xml:space="preserve">顧客要求禁止物質を指定しますので、別紙1の提出をお願いします。
</t>
    <phoneticPr fontId="2"/>
  </si>
  <si>
    <t>ミネベアミツミグループよりお取引様へ
From MinebeaMitsumi Group to Business partner
从美蓓亚三美集团到供应商</t>
    <rPh sb="14" eb="16">
      <t>トリヒキ</t>
    </rPh>
    <rPh sb="16" eb="17">
      <t>サマ</t>
    </rPh>
    <phoneticPr fontId="2"/>
  </si>
  <si>
    <t>ミネベアミツミ操作箇所 / MinebeaMitsumi operation part /  美蓓亚三美操作部分</t>
    <rPh sb="7" eb="9">
      <t>ソウサ</t>
    </rPh>
    <rPh sb="9" eb="11">
      <t>カショ</t>
    </rPh>
    <phoneticPr fontId="2"/>
  </si>
  <si>
    <t>https://www.minebeamitsumi.com/english/corp/company/procurements/green/</t>
    <phoneticPr fontId="2"/>
  </si>
  <si>
    <t>ミネベアミツミグループよりお取引様へ
From MinebeaMitsumi Group to Business partner
从美蓓亚三美集团到供应商</t>
    <phoneticPr fontId="2"/>
  </si>
  <si>
    <t>Presence or absence of prohibited substances for customer requirements：
We guarantee non-use, including substances prohibited by customers in Sheet 1.</t>
    <phoneticPr fontId="2"/>
  </si>
  <si>
    <t xml:space="preserve"> </t>
    <phoneticPr fontId="2"/>
  </si>
  <si>
    <t>全ての用途</t>
    <phoneticPr fontId="2"/>
  </si>
  <si>
    <r>
      <t>　弊社は、弊社が貴社に納入する部品、部材、部品ユニット、原材料、原材料の加工品、副資材および貴社製品の出荷用包装材に、貴社の</t>
    </r>
    <r>
      <rPr>
        <sz val="10"/>
        <rFont val="ＭＳ Ｐゴシック"/>
        <family val="3"/>
        <charset val="128"/>
      </rPr>
      <t>｢</t>
    </r>
    <r>
      <rPr>
        <sz val="10"/>
        <rFont val="Microsoft YaHei"/>
        <family val="2"/>
      </rPr>
      <t>ミネベアミツミグループグリーン調達管理要領EM10507 第7版</t>
    </r>
    <r>
      <rPr>
        <sz val="10"/>
        <rFont val="ＭＳ Ｐゴシック"/>
        <family val="3"/>
        <charset val="128"/>
      </rPr>
      <t>｣</t>
    </r>
    <r>
      <rPr>
        <sz val="10"/>
        <rFont val="Microsoft YaHei"/>
        <family val="2"/>
      </rPr>
      <t>(以下、EM10507と言う)で要求している禁止物質および別紙１「顧客要求禁止物質リスト」又は別紙1に相当するその他の依頼書の中で対象とされている物質に対し、下記2項を除き、使用していないことを保証致します。
　貴社規制値が記載されている化学物質に関しましては、記載規制値を超えたと貴社が判断し連絡を受けた場合または、法規制値を超えたと弊社が確認した場合は貴社に連絡し、貴社と協議を致します。
  また、弊社が貴社へ納入品を出荷する際に用いる包装材は EM10507 の3-8項の要求事項に適合していることを保証致します。</t>
    </r>
    <rPh sb="92" eb="93">
      <t>ダイ</t>
    </rPh>
    <rPh sb="94" eb="95">
      <t>ハン</t>
    </rPh>
    <phoneticPr fontId="2"/>
  </si>
  <si>
    <t xml:space="preserve"> 別紙1 の有無：無し</t>
    <rPh sb="9" eb="10">
      <t>ナ</t>
    </rPh>
    <phoneticPr fontId="2"/>
  </si>
  <si>
    <t xml:space="preserve">別紙1 の有無：有り
別紙1の顧客要求禁止物質を含め、不使用を保証致します。
</t>
    <rPh sb="0" eb="2">
      <t>ベッシ</t>
    </rPh>
    <rPh sb="8" eb="9">
      <t>ア</t>
    </rPh>
    <phoneticPr fontId="2"/>
  </si>
  <si>
    <t xml:space="preserve">GB 24409-2020、GB 30981-2020 、GB 33372-2020、GB 38507-2020、GB 38508-2020 </t>
    <phoneticPr fontId="2"/>
  </si>
  <si>
    <t>由于指定了顾客要求的禁止物质，因此要提交附件 1。</t>
    <phoneticPr fontId="2"/>
  </si>
  <si>
    <t xml:space="preserve"> 附件 1的有无:无</t>
    <phoneticPr fontId="2"/>
  </si>
  <si>
    <t>附件 1的有无:有
若附件 1的顾客要求禁止物质在内，请保证不使用。</t>
    <phoneticPr fontId="2"/>
  </si>
  <si>
    <t>　本公司，向贵公司提供的部品、部材、部品组件、原材料、原材料的加工品、辅助材料以及贵公司产品出货用的包装材料，对于贵公司「美蓓亚三美集团绿色采购管理要领EM10507第7版」（以下称为EM10507）要求的禁止物质以及附件1「顾客要求禁止物质一览表」或相当于附件1的其他委托书中针对作为对象的物质，除以下2项，保证不使用。 
　关于贵公司所记载的化学物质限制值，在接到贵公司判断超出了所记载的限制值的联络时，或者是在本公司发现了超出法规限制值时，和贵公司取得联络并协商解决。
    另外，我公司保证向贵公司出货时使用的包装材料符合EM10507的3-8项的要求事项。</t>
    <phoneticPr fontId="2"/>
  </si>
  <si>
    <t>Please submit Attachment 1 since MinebeaMitsumi has specified prohibited substances requested by customers.</t>
    <phoneticPr fontId="2"/>
  </si>
  <si>
    <t>English</t>
  </si>
  <si>
    <t xml:space="preserve">  With or Without Sheet 1: Without</t>
    <phoneticPr fontId="2"/>
  </si>
  <si>
    <t>別紙1 の有無：有り
別紙1の顧客要求禁止物質を含め、不使用を保証致します。</t>
    <rPh sb="0" eb="2">
      <t>ベッシ</t>
    </rPh>
    <rPh sb="8" eb="9">
      <t>ア</t>
    </rPh>
    <phoneticPr fontId="2"/>
  </si>
  <si>
    <t>it is not necessary to fill out or submit Appendix 1 since the Prohibited substances required by customer are not specified in this form.
※ However, when there is a description of prohibited substances of our customers' customer requirements in other request form, it will be prohibited in accordance with the other request form.</t>
    <phoneticPr fontId="2"/>
  </si>
  <si>
    <t>由于本表格中未特别指定顾客要求的禁止物质，因此无需填写或提交附件 1。
※ 但是，其他委托书中，有记载本公司客户要求的禁止物质时，
     要根据其他委托书予以禁止。</t>
    <phoneticPr fontId="2"/>
  </si>
  <si>
    <r>
      <t>顧客要求禁止物質は本帳票では指定しませんので、別紙1の記入</t>
    </r>
    <r>
      <rPr>
        <sz val="11"/>
        <rFont val="ＭＳ Ｐゴシック"/>
        <family val="3"/>
        <charset val="128"/>
      </rPr>
      <t>・</t>
    </r>
    <r>
      <rPr>
        <sz val="11"/>
        <rFont val="Microsoft YaHei"/>
        <family val="2"/>
        <charset val="134"/>
      </rPr>
      <t>提出は不要です。
※但し、その他の依頼書に、当社顧客要求の禁止物質の記載がある場合は、
   その他の依頼書に従って禁止と致します。</t>
    </r>
    <phoneticPr fontId="2"/>
  </si>
  <si>
    <t>Our company warranties that our company do not use the prohibited substances required by "MinebeaMitsumi Group Green Procurement Standard EM10507 7th Edition", or the substances described as the target substance in "Prohibited substances required by customer list" of Appendix 1 or other request form equivalent to Appendix 1 except the following Claus2, for parts, units, components, raw materials, goods processed using such raw materials, subsidiary materials, and packaging materials for shipping MinebeaMitsumi products delivered to MinebeaMitsumi. With regard to the substances to which "MinebeaMitsumi Group regulation value" are indicated, our company will inform and confer with your company When your company judged that the content of substances exceeds "MinebeaMitsumi Group regulation value" and our company received that information, or when our company confirms that the content exceeds "Regulation value". And ,our company warranties that the packaging materials we use when delivering parts or parts units to your company comply with the requirements in Clause 3-8 of  EM10507.</t>
    <phoneticPr fontId="2"/>
  </si>
  <si>
    <t>Please submit Appendix 1 since MinebeaMitsumi has specified prohibited substances requested by customers.</t>
    <phoneticPr fontId="2"/>
  </si>
  <si>
    <t xml:space="preserve">95-68-1 </t>
    <phoneticPr fontId="2"/>
  </si>
  <si>
    <t>87-62-7</t>
    <phoneticPr fontId="2"/>
  </si>
  <si>
    <t>https://eur-lex.europa.eu/legal-content/EN/TXT/PDF/?uri=CELEX:02011L0065-20221001&amp;from=EN</t>
    <phoneticPr fontId="2"/>
  </si>
  <si>
    <t>日本語</t>
  </si>
  <si>
    <t xml:space="preserve"> With or Without Appendix 1: Without</t>
  </si>
  <si>
    <t>中文</t>
  </si>
  <si>
    <t>附件 1的有无:有
若附件 1的顾客要求禁止物质在内，请保证不使用。</t>
  </si>
  <si>
    <t xml:space="preserve"> With or Without Appendix 1: With
We guarantee non-use, including substances prohibited by customers in Appendix 1.</t>
  </si>
  <si>
    <t>無し / without / 无</t>
  </si>
  <si>
    <t>顧客要求禁止物質(別紙1追加)の有無/With or Without prohibited substances required by customer(Appendix 1)/有无顾客要求的禁止物质(追加附件1)</t>
  </si>
  <si>
    <r>
      <t>　弊社は、弊社が貴社に納入する部品、部材、部品ユニット、原材料、原材料の加工品、副資材および貴社製品の出荷用包装材に、貴社の</t>
    </r>
    <r>
      <rPr>
        <sz val="10"/>
        <rFont val="ＭＳ Ｐゴシック"/>
        <family val="3"/>
        <charset val="128"/>
      </rPr>
      <t>｢</t>
    </r>
    <r>
      <rPr>
        <sz val="10"/>
        <rFont val="Microsoft YaHei"/>
        <family val="2"/>
      </rPr>
      <t>ミネベアミツミグループグリーン調達管理要領EM10507第9版</t>
    </r>
    <r>
      <rPr>
        <sz val="10"/>
        <rFont val="ＭＳ Ｐゴシック"/>
        <family val="3"/>
        <charset val="128"/>
      </rPr>
      <t>｣</t>
    </r>
    <r>
      <rPr>
        <sz val="10"/>
        <rFont val="Microsoft YaHei"/>
        <family val="2"/>
      </rPr>
      <t>(以下、EM10507と言う)で要求している禁止物質および別紙１「顧客要求禁止物質リスト」又は別紙1に相当するその他の依頼書の中で対象とされている物質に対し、下記2項を除き、使用していないことを保証致します。
　貴社規制値が記載されている化学物質に関しましては、記載規制値を超えたと貴社が判断し連絡を受けた場合または、法規制値を超えたと弊社が確認した場合は貴社に連絡し、貴社と協議を致します。
  また、弊社が貴社へ納入品を出荷する際に用いる包装材は EM10507 の3-8項の要求事項に適合していることを保証致します。</t>
    </r>
  </si>
  <si>
    <r>
      <t>　弊社は、弊社が貴社に納入する部品、部材、部品ユニット、原材料、原材料の加工品、副資材および貴社製品の出荷用包装材に、貴社の</t>
    </r>
    <r>
      <rPr>
        <sz val="10"/>
        <rFont val="ＭＳ Ｐゴシック"/>
        <family val="3"/>
        <charset val="128"/>
      </rPr>
      <t>｢</t>
    </r>
    <r>
      <rPr>
        <sz val="10"/>
        <rFont val="Microsoft YaHei"/>
        <family val="2"/>
      </rPr>
      <t>ミネベアミツミグループグリーン調達管理要領EM10507 第9版</t>
    </r>
    <r>
      <rPr>
        <sz val="10"/>
        <rFont val="ＭＳ Ｐゴシック"/>
        <family val="3"/>
        <charset val="128"/>
      </rPr>
      <t>｣</t>
    </r>
    <r>
      <rPr>
        <sz val="10"/>
        <rFont val="Microsoft YaHei"/>
        <family val="2"/>
      </rPr>
      <t>(以下、EM10507と言う)で要求している禁止物質および別紙１「顧客要求禁止物質リスト」又は別紙1に相当するその他の依頼書の中で対象とされている物質に対し、下記2項を除き、使用していないことを保証致します。
　貴社規制値が記載されている化学物質に関しましては、記載規制値を超えたと貴社が判断し連絡を受けた場合または、法規制値を超えたと弊社が確認した場合は貴社に連絡し、貴社と協議を致します。
  また、弊社が貴社へ納入品を出荷する際に用いる包装材は EM10507 の3-8項の要求事項に適合していることを保証致します。</t>
    </r>
  </si>
  <si>
    <t>Our company warranties that our company do not use the prohibited substances required by "MinebeaMitsumi Group Green Procurement Standard EM10507 9th Edition", or the substances described as the target substance in "Prohibited substances required by customer list" of Appendix 1 or other request form equivalent to Appendix 1 except the following Claus2, for parts, units, components, raw materials, goods processed using such raw materials, subsidiary materials, and packaging materials for shipping MinebeaMitsumi products delivered to MinebeaMitsumi. With regard to the substances to which "MinebeaMitsumi Group regulation value" are indicated, our company will inform and confer with your company When your company judged that the content of substances exceeds "MinebeaMitsumi Group regulation value" and our company received that information, or when our company confirms that the content exceeds "Regulation value". And ,our company warranties that the packaging materials we use when delivering parts or parts units to your company comply with the requirements in Clause 3-8 of  EM10507.</t>
  </si>
  <si>
    <t>　本公司，向贵公司提供的部品、部材、部品组件、原材料、原材料的加工品、辅助材料以及贵公司产品出货用的包装材料，对于贵公司「美蓓亚三美集团绿色采购管理要领EM10507第9版」（以下称为EM10507）要求的禁止物质以及附件1「顾客要求禁止物质一览表」或相当于附件1的其他委托书中针对作为对象的物质，除以下2项，保证不使用。 
　关于贵公司所记载的化学物质限制值，在接到贵公司判断超出了所记载的限制值的联络时，或者是在本公司发现了超出法规限制值时，和贵公司取得联络并协商解决。
    另外，我公司保证向贵公司出货时使用的包装材料符合EM10507的3-8项的要求事项。</t>
  </si>
  <si>
    <t>9th</t>
  </si>
  <si>
    <t>Form：F-0045-14</t>
  </si>
  <si>
    <t xml:space="preserve">顧客要求禁止物質(別紙1追加)の有無/With or Without prohibited substances required by customer(Appendix 1)/有无顾客要求的禁止物质(追加附件1)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</si>
</sst>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Red]&quot;¥&quot;\-#,##0"/>
  </numFmts>
  <fonts count="6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ゴシック"/>
      <family val="3"/>
      <charset val="128"/>
    </font>
    <font>
      <sz val="11"/>
      <name val="ＭＳ ゴシック"/>
      <family val="3"/>
      <charset val="128"/>
    </font>
    <font>
      <sz val="6"/>
      <name val="ＭＳ 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color indexed="12"/>
      <name val="ＭＳ Ｐゴシック"/>
      <family val="3"/>
      <charset val="128"/>
    </font>
    <font>
      <sz val="11"/>
      <color theme="1"/>
      <name val="Calibri"/>
      <family val="3"/>
      <charset val="128"/>
      <scheme val="minor"/>
    </font>
    <font>
      <sz val="11"/>
      <color theme="1"/>
      <name val="ＭＳ Ｐゴシック"/>
      <family val="3"/>
      <charset val="128"/>
    </font>
    <font>
      <u/>
      <sz val="11"/>
      <color theme="10"/>
      <name val="ＭＳ Ｐゴシック"/>
      <family val="3"/>
      <charset val="128"/>
    </font>
    <font>
      <sz val="11"/>
      <name val="Microsoft YaHei"/>
      <family val="2"/>
      <charset val="134"/>
    </font>
    <font>
      <sz val="11"/>
      <name val="Microsoft YaHei"/>
      <family val="2"/>
    </font>
    <font>
      <sz val="10"/>
      <name val="Microsoft YaHei"/>
      <family val="2"/>
    </font>
    <font>
      <sz val="9"/>
      <name val="Microsoft YaHei"/>
      <family val="2"/>
    </font>
    <font>
      <b/>
      <sz val="18"/>
      <name val="Microsoft YaHei"/>
      <family val="2"/>
    </font>
    <font>
      <sz val="9.5"/>
      <name val="Microsoft YaHei"/>
      <family val="2"/>
    </font>
    <font>
      <u/>
      <sz val="11"/>
      <name val="Microsoft YaHei"/>
      <family val="2"/>
    </font>
    <font>
      <b/>
      <sz val="11"/>
      <name val="Microsoft YaHei"/>
      <family val="2"/>
    </font>
    <font>
      <b/>
      <sz val="10"/>
      <name val="Microsoft YaHei"/>
      <family val="2"/>
    </font>
    <font>
      <sz val="12"/>
      <name val="Microsoft YaHei"/>
      <family val="2"/>
    </font>
    <font>
      <b/>
      <sz val="12"/>
      <name val="Microsoft YaHei"/>
      <family val="2"/>
    </font>
    <font>
      <sz val="6"/>
      <name val="Microsoft YaHei"/>
      <family val="2"/>
    </font>
    <font>
      <sz val="10.5"/>
      <name val="Microsoft YaHei"/>
      <family val="2"/>
    </font>
    <font>
      <sz val="8"/>
      <name val="Microsoft YaHei"/>
      <family val="2"/>
    </font>
    <font>
      <b/>
      <sz val="14"/>
      <name val="Microsoft YaHei"/>
      <family val="2"/>
    </font>
    <font>
      <sz val="10"/>
      <name val="Microsoft YaHei"/>
      <family val="2"/>
      <charset val="134"/>
    </font>
    <font>
      <u/>
      <sz val="11"/>
      <name val="Microsoft YaHei"/>
      <family val="2"/>
      <charset val="134"/>
    </font>
    <font>
      <sz val="17"/>
      <name val="Microsoft YaHei"/>
      <family val="2"/>
    </font>
    <font>
      <sz val="17"/>
      <name val="ＭＳ Ｐゴシック"/>
      <family val="3"/>
      <charset val="128"/>
    </font>
    <font>
      <sz val="14"/>
      <name val="Microsoft YaHei"/>
      <family val="2"/>
    </font>
    <font>
      <sz val="1"/>
      <name val="Microsoft YaHei"/>
      <family val="2"/>
    </font>
    <font>
      <sz val="16"/>
      <name val="Microsoft YaHei"/>
      <family val="2"/>
    </font>
    <font>
      <sz val="8"/>
      <name val="ＭＳ Ｐゴシック"/>
      <family val="3"/>
      <charset val="128"/>
    </font>
    <font>
      <sz val="8"/>
      <name val="Microsoft YaHei"/>
      <family val="2"/>
      <charset val="134"/>
    </font>
    <font>
      <b/>
      <sz val="9"/>
      <name val="Microsoft YaHei"/>
      <family val="2"/>
    </font>
    <font>
      <sz val="9"/>
      <name val="ＭＳ Ｐゴシック"/>
      <family val="3"/>
      <charset val="128"/>
    </font>
    <font>
      <sz val="8.5"/>
      <name val="ＭＳ Ｐゴシック"/>
      <family val="3"/>
      <charset val="128"/>
    </font>
    <font>
      <sz val="14"/>
      <name val="ＭＳ Ｐゴシック"/>
      <family val="3"/>
      <charset val="128"/>
    </font>
    <font>
      <b/>
      <sz val="16"/>
      <name val="Microsoft YaHei"/>
      <family val="2"/>
    </font>
    <font>
      <b/>
      <sz val="16"/>
      <name val="ＭＳ Ｐゴシック"/>
      <family val="3"/>
      <charset val="128"/>
    </font>
    <font>
      <sz val="11"/>
      <name val="Meiryo UI"/>
      <family val="3"/>
      <charset val="128"/>
    </font>
    <font>
      <b/>
      <sz val="10"/>
      <name val="ＭＳ Ｐゴシック"/>
      <family val="3"/>
      <charset val="128"/>
    </font>
    <font>
      <u/>
      <sz val="11"/>
      <name val="ＭＳ Ｐゴシック"/>
      <family val="3"/>
      <charset val="128"/>
    </font>
    <font>
      <sz val="8.5"/>
      <name val="Microsoft YaHei"/>
      <family val="2"/>
    </font>
    <font>
      <u/>
      <sz val="11"/>
      <color theme="10"/>
      <name val="Microsoft YaHei"/>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8" tint="0.79998168889431442"/>
        <bgColor indexed="64"/>
      </patternFill>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hair">
        <color indexed="64"/>
      </left>
      <right/>
      <top style="hair">
        <color indexed="64"/>
      </top>
      <bottom/>
      <diagonal/>
    </border>
    <border>
      <left style="thin">
        <color indexed="64"/>
      </left>
      <right/>
      <top/>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top style="thin">
        <color indexed="23"/>
      </top>
      <bottom/>
      <diagonal/>
    </border>
    <border>
      <left style="thin">
        <color indexed="23"/>
      </left>
      <right/>
      <top/>
      <bottom style="thin">
        <color indexed="23"/>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diagonal/>
    </border>
  </borders>
  <cellStyleXfs count="50">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7"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1" fillId="0" borderId="0">
      <alignment vertical="center"/>
    </xf>
    <xf numFmtId="0" fontId="25" fillId="0" borderId="0">
      <alignment vertical="center"/>
    </xf>
    <xf numFmtId="0" fontId="26" fillId="0" borderId="0">
      <alignment vertical="center"/>
    </xf>
    <xf numFmtId="0" fontId="23" fillId="4" borderId="0" applyNumberFormat="0" applyBorder="0" applyAlignment="0" applyProtection="0">
      <alignment vertical="center"/>
    </xf>
    <xf numFmtId="0" fontId="5" fillId="0" borderId="0"/>
    <xf numFmtId="0" fontId="27" fillId="0" borderId="0" applyNumberFormat="0" applyFill="0" applyBorder="0" applyAlignment="0" applyProtection="0"/>
    <xf numFmtId="0" fontId="1" fillId="0" borderId="0"/>
    <xf numFmtId="164" fontId="1" fillId="0" borderId="0" applyFont="0" applyFill="0" applyBorder="0" applyAlignment="0" applyProtection="0">
      <alignment vertical="center"/>
    </xf>
  </cellStyleXfs>
  <cellXfs count="841">
    <xf numFmtId="0" fontId="0" fillId="0" borderId="0" xfId="0"/>
    <xf numFmtId="0" fontId="28" fillId="0" borderId="0" xfId="0" applyFont="1" applyAlignment="1">
      <alignment vertical="center"/>
    </xf>
    <xf numFmtId="0" fontId="29" fillId="28" borderId="0" xfId="0" applyFont="1" applyFill="1" applyAlignment="1">
      <alignment vertical="center"/>
    </xf>
    <xf numFmtId="0" fontId="29" fillId="0" borderId="0" xfId="48" applyFont="1" applyBorder="1" applyAlignment="1">
      <alignment vertical="center"/>
    </xf>
    <xf numFmtId="0" fontId="29" fillId="0" borderId="0" xfId="48" applyFont="1" applyFill="1" applyAlignment="1">
      <alignment vertical="center"/>
    </xf>
    <xf numFmtId="0" fontId="30" fillId="0" borderId="0" xfId="48" applyFont="1" applyBorder="1" applyAlignment="1" applyProtection="1">
      <alignment vertical="center"/>
      <protection locked="0"/>
    </xf>
    <xf numFmtId="0" fontId="29" fillId="26" borderId="0" xfId="48" applyFont="1" applyFill="1" applyAlignment="1">
      <alignment vertical="center"/>
    </xf>
    <xf numFmtId="0" fontId="29" fillId="0" borderId="0" xfId="48" applyFont="1" applyBorder="1" applyAlignment="1" applyProtection="1">
      <alignment vertical="center"/>
    </xf>
    <xf numFmtId="0" fontId="30" fillId="0" borderId="0" xfId="48" applyFont="1" applyFill="1" applyAlignment="1">
      <alignment vertical="center"/>
    </xf>
    <xf numFmtId="0" fontId="33" fillId="0" borderId="0" xfId="48" applyFont="1" applyFill="1" applyBorder="1" applyAlignment="1" applyProtection="1">
      <alignment vertical="center"/>
    </xf>
    <xf numFmtId="0" fontId="30" fillId="0" borderId="0" xfId="48" applyFont="1" applyBorder="1" applyAlignment="1">
      <alignment horizontal="center" vertical="center"/>
    </xf>
    <xf numFmtId="0" fontId="29" fillId="0" borderId="0" xfId="48" applyFont="1" applyAlignment="1" applyProtection="1">
      <alignment vertical="center"/>
    </xf>
    <xf numFmtId="0" fontId="29" fillId="0" borderId="0" xfId="48" applyFont="1" applyBorder="1" applyAlignment="1" applyProtection="1">
      <alignment horizontal="center" vertical="center" textRotation="255"/>
    </xf>
    <xf numFmtId="0" fontId="29" fillId="0" borderId="0" xfId="48" applyFont="1" applyFill="1" applyBorder="1" applyAlignment="1">
      <alignment vertical="center"/>
    </xf>
    <xf numFmtId="0" fontId="29" fillId="0" borderId="0" xfId="48" applyFont="1" applyAlignment="1">
      <alignment horizontal="left" vertical="top"/>
    </xf>
    <xf numFmtId="0" fontId="35" fillId="0" borderId="0" xfId="48" applyFont="1" applyAlignment="1">
      <alignment vertical="center"/>
    </xf>
    <xf numFmtId="0" fontId="36" fillId="0" borderId="0" xfId="48" applyFont="1" applyAlignment="1">
      <alignment vertical="center"/>
    </xf>
    <xf numFmtId="0" fontId="31" fillId="0" borderId="0" xfId="48" applyFont="1" applyAlignment="1">
      <alignment vertical="center"/>
    </xf>
    <xf numFmtId="0" fontId="31" fillId="0" borderId="0" xfId="48" applyFont="1" applyBorder="1" applyAlignment="1">
      <alignment vertical="center"/>
    </xf>
    <xf numFmtId="0" fontId="31" fillId="0" borderId="0" xfId="48" applyFont="1" applyBorder="1" applyAlignment="1" applyProtection="1">
      <alignment vertical="center"/>
    </xf>
    <xf numFmtId="0" fontId="36" fillId="0" borderId="0" xfId="48" applyFont="1" applyFill="1" applyAlignment="1">
      <alignment vertical="center"/>
    </xf>
    <xf numFmtId="0" fontId="36" fillId="0" borderId="0" xfId="48" applyFont="1" applyFill="1" applyBorder="1" applyAlignment="1">
      <alignment vertical="center"/>
    </xf>
    <xf numFmtId="0" fontId="36" fillId="0" borderId="0" xfId="48" applyFont="1" applyFill="1" applyAlignment="1">
      <alignment horizontal="center" vertical="center"/>
    </xf>
    <xf numFmtId="0" fontId="29" fillId="0" borderId="0" xfId="48" applyFont="1"/>
    <xf numFmtId="0" fontId="30" fillId="0" borderId="0" xfId="48" applyFont="1"/>
    <xf numFmtId="0" fontId="29" fillId="0" borderId="35" xfId="48" applyFont="1" applyBorder="1"/>
    <xf numFmtId="0" fontId="29" fillId="0" borderId="0" xfId="48" applyFont="1" applyFill="1" applyBorder="1"/>
    <xf numFmtId="0" fontId="30" fillId="0" borderId="35" xfId="48" applyFont="1" applyFill="1" applyBorder="1" applyAlignment="1">
      <alignment horizontal="center" vertical="center" shrinkToFit="1"/>
    </xf>
    <xf numFmtId="0" fontId="30" fillId="0" borderId="0" xfId="48" applyFont="1" applyBorder="1"/>
    <xf numFmtId="0" fontId="30" fillId="0" borderId="0" xfId="48" applyFont="1" applyBorder="1" applyAlignment="1">
      <alignment horizontal="left" vertical="top"/>
    </xf>
    <xf numFmtId="0" fontId="36" fillId="0" borderId="0" xfId="48" applyFont="1" applyBorder="1" applyAlignment="1">
      <alignment horizontal="center" vertical="center"/>
    </xf>
    <xf numFmtId="0" fontId="30" fillId="0" borderId="0" xfId="48" applyFont="1" applyBorder="1" applyAlignment="1" applyProtection="1">
      <alignment horizontal="center" vertical="center"/>
      <protection locked="0"/>
    </xf>
    <xf numFmtId="0" fontId="31" fillId="0" borderId="0" xfId="48" applyFont="1" applyFill="1" applyBorder="1" applyAlignment="1">
      <alignment vertical="center"/>
    </xf>
    <xf numFmtId="0" fontId="31" fillId="0" borderId="0" xfId="0" applyFont="1" applyFill="1" applyBorder="1" applyAlignment="1" applyProtection="1">
      <alignment horizontal="center" vertical="center"/>
      <protection locked="0"/>
    </xf>
    <xf numFmtId="0" fontId="31" fillId="0" borderId="0" xfId="48" applyFont="1" applyFill="1" applyBorder="1" applyAlignment="1" applyProtection="1">
      <alignment horizontal="center" vertical="center"/>
      <protection locked="0"/>
    </xf>
    <xf numFmtId="0" fontId="31" fillId="0" borderId="0" xfId="48" applyFont="1" applyAlignment="1">
      <alignment horizontal="center" vertical="center"/>
    </xf>
    <xf numFmtId="0" fontId="39" fillId="0" borderId="0" xfId="48" applyFont="1" applyFill="1" applyBorder="1" applyAlignment="1">
      <alignment horizontal="center" vertical="center" textRotation="255"/>
    </xf>
    <xf numFmtId="0" fontId="31" fillId="0" borderId="0" xfId="48" applyFont="1" applyFill="1" applyBorder="1" applyAlignment="1">
      <alignment horizontal="left" vertical="center"/>
    </xf>
    <xf numFmtId="0" fontId="31" fillId="0" borderId="0" xfId="48" applyFont="1" applyFill="1" applyBorder="1" applyAlignment="1">
      <alignment horizontal="center" vertical="center"/>
    </xf>
    <xf numFmtId="0" fontId="41" fillId="0" borderId="0" xfId="48" applyFont="1" applyBorder="1" applyAlignment="1">
      <alignment horizontal="center" vertical="center"/>
    </xf>
    <xf numFmtId="0" fontId="30" fillId="0" borderId="35" xfId="48" applyFont="1" applyBorder="1" applyAlignment="1">
      <alignment horizontal="center" vertical="center"/>
    </xf>
    <xf numFmtId="0" fontId="31" fillId="0" borderId="35" xfId="0" applyFont="1" applyFill="1" applyBorder="1" applyAlignment="1" applyProtection="1">
      <alignment horizontal="center" vertical="center"/>
      <protection locked="0"/>
    </xf>
    <xf numFmtId="0" fontId="38" fillId="0" borderId="0" xfId="48" applyFont="1" applyAlignment="1">
      <alignment vertical="center"/>
    </xf>
    <xf numFmtId="0" fontId="31" fillId="0" borderId="0" xfId="48" applyFont="1" applyFill="1" applyAlignment="1">
      <alignment vertical="center"/>
    </xf>
    <xf numFmtId="0" fontId="40" fillId="0" borderId="0" xfId="48" applyFont="1" applyAlignment="1">
      <alignment vertical="center"/>
    </xf>
    <xf numFmtId="0" fontId="41" fillId="0" borderId="0" xfId="48" applyFont="1" applyFill="1" applyBorder="1" applyAlignment="1">
      <alignment horizontal="center" vertical="center"/>
    </xf>
    <xf numFmtId="0" fontId="41" fillId="0" borderId="0" xfId="48" applyFont="1" applyFill="1" applyBorder="1" applyAlignment="1">
      <alignment horizontal="justify" vertical="center"/>
    </xf>
    <xf numFmtId="3" fontId="30" fillId="0" borderId="0" xfId="48" applyNumberFormat="1" applyFont="1" applyFill="1" applyBorder="1" applyAlignment="1">
      <alignment horizontal="center" vertical="center" wrapText="1"/>
    </xf>
    <xf numFmtId="0" fontId="29" fillId="0" borderId="0" xfId="46" applyFont="1"/>
    <xf numFmtId="0" fontId="31" fillId="0" borderId="0" xfId="46" applyFont="1"/>
    <xf numFmtId="0" fontId="29" fillId="0" borderId="35" xfId="46" applyFont="1" applyBorder="1" applyAlignment="1">
      <alignment horizontal="left"/>
    </xf>
    <xf numFmtId="0" fontId="29" fillId="0" borderId="35" xfId="46" applyFont="1" applyBorder="1" applyAlignment="1">
      <alignment horizontal="right"/>
    </xf>
    <xf numFmtId="0" fontId="29" fillId="0" borderId="0" xfId="46" applyFont="1" applyBorder="1"/>
    <xf numFmtId="0" fontId="29" fillId="0" borderId="0" xfId="46" applyFont="1" applyBorder="1" applyAlignment="1">
      <alignment horizontal="left" vertical="center"/>
    </xf>
    <xf numFmtId="0" fontId="29" fillId="0" borderId="0" xfId="46" applyFont="1" applyBorder="1" applyAlignment="1">
      <alignment horizontal="center" vertical="center"/>
    </xf>
    <xf numFmtId="0" fontId="34" fillId="0" borderId="0" xfId="46" applyFont="1" applyBorder="1" applyAlignment="1">
      <alignment horizontal="left" vertical="center"/>
    </xf>
    <xf numFmtId="0" fontId="30" fillId="0" borderId="4" xfId="46" applyFont="1" applyBorder="1" applyAlignment="1">
      <alignment horizontal="center" vertical="center" wrapText="1"/>
    </xf>
    <xf numFmtId="0" fontId="29" fillId="0" borderId="4" xfId="46" applyFont="1" applyBorder="1" applyAlignment="1">
      <alignment horizontal="center" vertical="center" wrapText="1"/>
    </xf>
    <xf numFmtId="0" fontId="29" fillId="0" borderId="35" xfId="46" applyFont="1" applyBorder="1" applyAlignment="1">
      <alignment vertical="center" wrapText="1"/>
    </xf>
    <xf numFmtId="0" fontId="30" fillId="0" borderId="0" xfId="48" applyFont="1" applyBorder="1" applyAlignment="1">
      <alignment horizontal="left" vertical="center"/>
    </xf>
    <xf numFmtId="0" fontId="44" fillId="0" borderId="0" xfId="47" applyFont="1" applyAlignment="1">
      <alignment horizontal="left"/>
    </xf>
    <xf numFmtId="0" fontId="28" fillId="0" borderId="0" xfId="48" applyFont="1" applyAlignment="1">
      <alignment wrapText="1"/>
    </xf>
    <xf numFmtId="0" fontId="28" fillId="0" borderId="0" xfId="0" applyFont="1" applyBorder="1" applyAlignment="1">
      <alignment vertical="center"/>
    </xf>
    <xf numFmtId="0" fontId="29" fillId="0" borderId="0" xfId="0" applyFont="1" applyFill="1" applyAlignment="1">
      <alignment vertical="center"/>
    </xf>
    <xf numFmtId="0" fontId="29" fillId="0" borderId="4" xfId="46" applyFont="1" applyBorder="1" applyAlignment="1">
      <alignment vertical="center" wrapText="1"/>
    </xf>
    <xf numFmtId="0" fontId="29" fillId="0" borderId="36" xfId="46" applyFont="1" applyBorder="1" applyAlignment="1">
      <alignment vertical="center" wrapText="1"/>
    </xf>
    <xf numFmtId="0" fontId="29" fillId="0" borderId="4" xfId="46" applyFont="1" applyBorder="1" applyAlignment="1">
      <alignment horizontal="left" vertical="center" wrapText="1"/>
    </xf>
    <xf numFmtId="0" fontId="29" fillId="0" borderId="36" xfId="46" applyFont="1" applyBorder="1" applyAlignment="1">
      <alignment horizontal="left" vertical="center" wrapText="1"/>
    </xf>
    <xf numFmtId="0" fontId="29" fillId="0" borderId="4" xfId="46" applyFont="1" applyBorder="1" applyAlignment="1">
      <alignment wrapText="1"/>
    </xf>
    <xf numFmtId="0" fontId="29" fillId="0" borderId="36" xfId="46" applyFont="1" applyBorder="1" applyAlignment="1">
      <alignment wrapText="1"/>
    </xf>
    <xf numFmtId="0" fontId="36" fillId="0" borderId="0" xfId="0" applyFont="1" applyFill="1" applyAlignment="1" applyProtection="1">
      <alignment vertical="center"/>
    </xf>
    <xf numFmtId="0" fontId="36"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Fill="1" applyAlignment="1" applyProtection="1">
      <alignment vertical="center"/>
    </xf>
    <xf numFmtId="0" fontId="30" fillId="0" borderId="0" xfId="0" applyFont="1" applyFill="1" applyBorder="1" applyAlignment="1" applyProtection="1">
      <alignment horizontal="center" vertical="center"/>
    </xf>
    <xf numFmtId="0" fontId="36" fillId="0" borderId="0" xfId="0" applyFont="1" applyFill="1" applyAlignment="1" applyProtection="1">
      <alignment horizontal="center"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8" fillId="0" borderId="0" xfId="0" applyFont="1" applyAlignment="1" applyProtection="1">
      <alignment vertical="center"/>
    </xf>
    <xf numFmtId="0" fontId="30" fillId="0" borderId="0" xfId="0" applyFont="1" applyAlignment="1" applyProtection="1">
      <alignment vertical="center"/>
    </xf>
    <xf numFmtId="0" fontId="29" fillId="0" borderId="0" xfId="0" applyFont="1" applyBorder="1" applyAlignment="1" applyProtection="1">
      <alignment vertical="center"/>
    </xf>
    <xf numFmtId="0" fontId="29" fillId="26" borderId="0" xfId="0" applyFont="1" applyFill="1" applyBorder="1" applyAlignment="1" applyProtection="1">
      <alignment vertical="center"/>
    </xf>
    <xf numFmtId="0" fontId="29" fillId="0" borderId="0" xfId="48" applyFont="1" applyAlignment="1">
      <alignment vertical="top" wrapText="1"/>
    </xf>
    <xf numFmtId="0" fontId="30" fillId="0" borderId="0" xfId="48" applyFont="1" applyBorder="1" applyAlignment="1">
      <alignment vertical="center"/>
    </xf>
    <xf numFmtId="0" fontId="30" fillId="0" borderId="0" xfId="48" applyFont="1" applyAlignment="1">
      <alignment vertical="center"/>
    </xf>
    <xf numFmtId="0" fontId="29" fillId="0" borderId="0" xfId="48" applyFont="1" applyBorder="1"/>
    <xf numFmtId="0" fontId="29" fillId="28" borderId="0" xfId="0" applyFont="1" applyFill="1" applyAlignment="1" applyProtection="1">
      <alignment vertical="center"/>
    </xf>
    <xf numFmtId="0" fontId="30" fillId="0" borderId="0" xfId="0" applyFont="1" applyFill="1" applyAlignment="1" applyProtection="1">
      <alignment horizontal="left" vertical="center"/>
    </xf>
    <xf numFmtId="0" fontId="30" fillId="0" borderId="0" xfId="0" applyFont="1" applyFill="1" applyAlignment="1" applyProtection="1">
      <alignment horizontal="center" vertical="center"/>
    </xf>
    <xf numFmtId="0" fontId="29" fillId="0" borderId="0" xfId="0" applyFont="1" applyAlignment="1" applyProtection="1">
      <alignment horizontal="center" vertical="center"/>
    </xf>
    <xf numFmtId="0" fontId="48" fillId="0" borderId="0" xfId="0" applyFont="1" applyAlignment="1" applyProtection="1">
      <alignment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left" vertical="center"/>
    </xf>
    <xf numFmtId="0" fontId="29" fillId="0" borderId="0" xfId="0" applyFont="1" applyBorder="1" applyAlignment="1" applyProtection="1">
      <alignment horizontal="left" vertical="center"/>
    </xf>
    <xf numFmtId="0" fontId="31" fillId="0" borderId="0" xfId="0" applyFont="1" applyFill="1" applyBorder="1" applyAlignment="1" applyProtection="1">
      <alignment vertical="center"/>
    </xf>
    <xf numFmtId="0" fontId="30" fillId="0" borderId="0" xfId="0" applyFont="1" applyBorder="1" applyAlignment="1" applyProtection="1">
      <alignment vertical="center"/>
    </xf>
    <xf numFmtId="0" fontId="39" fillId="0" borderId="0" xfId="0" applyFont="1" applyFill="1" applyBorder="1" applyAlignment="1" applyProtection="1">
      <alignment horizontal="center" vertical="center" textRotation="255"/>
    </xf>
    <xf numFmtId="0" fontId="36" fillId="0" borderId="0" xfId="0" applyFont="1" applyBorder="1" applyAlignment="1" applyProtection="1">
      <alignment horizontal="center" vertical="center"/>
    </xf>
    <xf numFmtId="0" fontId="31" fillId="0" borderId="0" xfId="0" applyFont="1" applyAlignment="1" applyProtection="1">
      <alignment vertical="center"/>
    </xf>
    <xf numFmtId="0" fontId="35" fillId="0" borderId="0" xfId="0" applyFont="1" applyAlignment="1" applyProtection="1">
      <alignment vertical="center"/>
    </xf>
    <xf numFmtId="0" fontId="29" fillId="0" borderId="0" xfId="48" applyFont="1" applyBorder="1" applyAlignment="1">
      <alignment horizontal="left" vertical="top"/>
    </xf>
    <xf numFmtId="0" fontId="29" fillId="0" borderId="61" xfId="48" applyFont="1" applyBorder="1" applyAlignment="1">
      <alignment vertical="center"/>
    </xf>
    <xf numFmtId="0" fontId="29" fillId="0" borderId="62" xfId="48" applyFont="1" applyBorder="1" applyAlignment="1">
      <alignment vertical="center"/>
    </xf>
    <xf numFmtId="0" fontId="29" fillId="0" borderId="63" xfId="48" applyFont="1" applyBorder="1" applyAlignment="1">
      <alignment vertical="center"/>
    </xf>
    <xf numFmtId="0" fontId="29" fillId="0" borderId="64" xfId="48" applyFont="1" applyBorder="1" applyAlignment="1">
      <alignment vertical="center"/>
    </xf>
    <xf numFmtId="0" fontId="29" fillId="0" borderId="65" xfId="48" applyFont="1" applyBorder="1" applyAlignment="1">
      <alignment vertical="center"/>
    </xf>
    <xf numFmtId="0" fontId="29" fillId="0" borderId="65" xfId="0" applyFont="1" applyFill="1" applyBorder="1" applyAlignment="1" applyProtection="1">
      <alignment vertical="center"/>
    </xf>
    <xf numFmtId="0" fontId="28" fillId="0" borderId="64" xfId="0" applyFont="1" applyBorder="1" applyAlignment="1">
      <alignment vertical="center"/>
    </xf>
    <xf numFmtId="0" fontId="28" fillId="0" borderId="65" xfId="0" applyFont="1" applyBorder="1" applyAlignment="1">
      <alignment vertical="center"/>
    </xf>
    <xf numFmtId="0" fontId="29" fillId="0" borderId="66" xfId="48" applyFont="1" applyBorder="1" applyAlignment="1">
      <alignment vertical="center"/>
    </xf>
    <xf numFmtId="0" fontId="29" fillId="0" borderId="67" xfId="48" applyFont="1" applyBorder="1" applyAlignment="1">
      <alignment vertical="center"/>
    </xf>
    <xf numFmtId="0" fontId="29" fillId="0" borderId="68" xfId="48" applyFont="1" applyBorder="1" applyAlignment="1">
      <alignment vertical="center"/>
    </xf>
    <xf numFmtId="0" fontId="29" fillId="26" borderId="64" xfId="0" applyFont="1" applyFill="1" applyBorder="1" applyAlignment="1" applyProtection="1">
      <alignment vertical="center"/>
    </xf>
    <xf numFmtId="0" fontId="34" fillId="0" borderId="64" xfId="48" applyFont="1" applyBorder="1" applyAlignment="1">
      <alignment vertical="center"/>
    </xf>
    <xf numFmtId="0" fontId="49" fillId="0" borderId="0" xfId="48" applyFont="1" applyBorder="1" applyAlignment="1">
      <alignment vertical="center"/>
    </xf>
    <xf numFmtId="0" fontId="49" fillId="0" borderId="0" xfId="48" applyFont="1" applyFill="1" applyBorder="1" applyAlignment="1" applyProtection="1">
      <alignment horizontal="center" vertical="center"/>
      <protection locked="0"/>
    </xf>
    <xf numFmtId="0" fontId="28" fillId="0" borderId="64" xfId="0" applyFont="1" applyBorder="1" applyAlignment="1" applyProtection="1">
      <alignment vertical="center"/>
    </xf>
    <xf numFmtId="0" fontId="28" fillId="0" borderId="0" xfId="0" applyFont="1" applyBorder="1" applyAlignment="1" applyProtection="1">
      <alignment vertical="center"/>
    </xf>
    <xf numFmtId="0" fontId="28" fillId="0" borderId="65" xfId="0" applyFont="1" applyBorder="1" applyAlignment="1" applyProtection="1">
      <alignment vertical="center"/>
    </xf>
    <xf numFmtId="0" fontId="28" fillId="0" borderId="66" xfId="0" applyFont="1" applyBorder="1" applyAlignment="1" applyProtection="1">
      <alignment vertical="center"/>
    </xf>
    <xf numFmtId="0" fontId="28" fillId="0" borderId="67" xfId="0" applyFont="1" applyBorder="1" applyAlignment="1" applyProtection="1">
      <alignment vertical="center"/>
    </xf>
    <xf numFmtId="0" fontId="29" fillId="0" borderId="67" xfId="0" applyFont="1" applyFill="1" applyBorder="1" applyAlignment="1" applyProtection="1">
      <alignment vertical="center"/>
    </xf>
    <xf numFmtId="0" fontId="28" fillId="0" borderId="68" xfId="0" applyFont="1" applyBorder="1" applyAlignment="1" applyProtection="1">
      <alignment vertical="center"/>
    </xf>
    <xf numFmtId="0" fontId="29" fillId="0" borderId="10" xfId="48" applyFont="1" applyBorder="1" applyAlignment="1">
      <alignment vertical="center" wrapText="1"/>
    </xf>
    <xf numFmtId="0" fontId="30" fillId="0" borderId="0" xfId="0" applyFont="1" applyBorder="1" applyAlignment="1" applyProtection="1">
      <alignment vertical="center" wrapText="1"/>
    </xf>
    <xf numFmtId="0" fontId="41" fillId="0" borderId="35" xfId="0" applyFont="1" applyBorder="1" applyAlignment="1" applyProtection="1">
      <alignment horizontal="center" vertical="center"/>
    </xf>
    <xf numFmtId="0" fontId="41" fillId="0" borderId="35" xfId="0" applyFont="1" applyFill="1" applyBorder="1" applyAlignment="1" applyProtection="1">
      <alignment horizontal="center" vertical="center" wrapText="1"/>
    </xf>
    <xf numFmtId="0" fontId="41" fillId="0" borderId="35" xfId="0" applyFont="1" applyFill="1" applyBorder="1" applyAlignment="1" applyProtection="1">
      <alignment horizontal="center" vertical="center"/>
      <protection locked="0"/>
    </xf>
    <xf numFmtId="0" fontId="30" fillId="28" borderId="0" xfId="0" applyFont="1" applyFill="1" applyAlignment="1">
      <alignment vertical="center"/>
    </xf>
    <xf numFmtId="0" fontId="29" fillId="0" borderId="0" xfId="48" applyFont="1" applyAlignment="1"/>
    <xf numFmtId="0" fontId="29" fillId="0" borderId="0" xfId="48" applyFont="1" applyAlignment="1">
      <alignment vertical="center" wrapText="1"/>
    </xf>
    <xf numFmtId="0" fontId="29" fillId="0" borderId="0" xfId="48" applyFont="1" applyBorder="1" applyAlignment="1">
      <alignment vertical="center" wrapText="1"/>
    </xf>
    <xf numFmtId="0" fontId="29" fillId="0" borderId="33" xfId="48" applyFont="1" applyBorder="1" applyAlignment="1">
      <alignment vertical="center" wrapText="1"/>
    </xf>
    <xf numFmtId="0" fontId="29" fillId="0" borderId="33" xfId="48" applyFont="1" applyBorder="1" applyAlignment="1">
      <alignment vertical="center"/>
    </xf>
    <xf numFmtId="0" fontId="29" fillId="0" borderId="27" xfId="48" applyFont="1" applyBorder="1" applyAlignment="1">
      <alignment vertical="center"/>
    </xf>
    <xf numFmtId="0" fontId="29" fillId="0" borderId="25" xfId="48" applyFont="1" applyBorder="1" applyAlignment="1">
      <alignment vertical="center"/>
    </xf>
    <xf numFmtId="0" fontId="29" fillId="0" borderId="10" xfId="48" applyFont="1" applyBorder="1" applyAlignment="1">
      <alignment vertical="center"/>
    </xf>
    <xf numFmtId="0" fontId="29" fillId="0" borderId="22" xfId="48" applyFont="1" applyBorder="1" applyAlignment="1">
      <alignment vertical="center"/>
    </xf>
    <xf numFmtId="0" fontId="28" fillId="0" borderId="0" xfId="0" applyFont="1" applyAlignment="1" applyProtection="1">
      <alignment vertical="center" wrapText="1"/>
    </xf>
    <xf numFmtId="0" fontId="30" fillId="28" borderId="0" xfId="0" applyFont="1" applyFill="1" applyAlignment="1">
      <alignment vertical="center" wrapText="1"/>
    </xf>
    <xf numFmtId="0" fontId="29" fillId="0" borderId="65" xfId="48" applyFont="1" applyBorder="1" applyAlignment="1">
      <alignment vertical="center" wrapText="1"/>
    </xf>
    <xf numFmtId="0" fontId="29" fillId="0" borderId="0" xfId="0" applyFont="1" applyFill="1" applyBorder="1" applyAlignment="1" applyProtection="1">
      <alignment vertical="top"/>
    </xf>
    <xf numFmtId="0" fontId="29" fillId="28" borderId="0" xfId="0" applyFont="1" applyFill="1" applyAlignment="1">
      <alignment vertical="top"/>
    </xf>
    <xf numFmtId="0" fontId="28" fillId="0" borderId="0" xfId="0" applyFont="1" applyAlignment="1" applyProtection="1">
      <alignment vertical="top" wrapText="1"/>
    </xf>
    <xf numFmtId="0" fontId="28" fillId="0" borderId="0" xfId="0" applyFont="1" applyAlignment="1" applyProtection="1">
      <alignment vertical="top"/>
    </xf>
    <xf numFmtId="0" fontId="30" fillId="0" borderId="0" xfId="0" applyFont="1" applyAlignment="1" applyProtection="1">
      <alignment vertical="top"/>
    </xf>
    <xf numFmtId="0" fontId="29" fillId="0" borderId="0" xfId="48" applyFont="1" applyAlignment="1">
      <alignment vertical="center"/>
    </xf>
    <xf numFmtId="0" fontId="41" fillId="0" borderId="35" xfId="0" applyFont="1" applyFill="1" applyBorder="1" applyAlignment="1" applyProtection="1">
      <alignment horizontal="center" vertical="center"/>
    </xf>
    <xf numFmtId="0" fontId="30" fillId="0" borderId="0" xfId="0" applyFont="1" applyBorder="1" applyAlignment="1" applyProtection="1">
      <alignment horizontal="center" vertical="center"/>
    </xf>
    <xf numFmtId="0" fontId="29" fillId="0" borderId="0" xfId="0" applyFont="1" applyAlignment="1" applyProtection="1">
      <alignment vertical="center"/>
    </xf>
    <xf numFmtId="0" fontId="47" fillId="0" borderId="0" xfId="0" applyFont="1" applyAlignment="1" applyProtection="1">
      <alignment vertical="center"/>
    </xf>
    <xf numFmtId="0" fontId="52" fillId="0" borderId="0" xfId="0" applyFont="1" applyBorder="1" applyAlignment="1" applyProtection="1">
      <alignment horizontal="left" vertical="top"/>
    </xf>
    <xf numFmtId="0" fontId="30" fillId="0" borderId="0" xfId="48" applyFont="1" applyFill="1" applyBorder="1" applyAlignment="1">
      <alignment horizontal="center" vertical="center"/>
    </xf>
    <xf numFmtId="0" fontId="29" fillId="0" borderId="0" xfId="48" applyFont="1" applyAlignment="1">
      <alignment vertical="center"/>
    </xf>
    <xf numFmtId="0" fontId="30" fillId="0" borderId="18" xfId="48" applyFont="1" applyFill="1" applyBorder="1" applyAlignment="1">
      <alignment horizontal="center" vertical="center"/>
    </xf>
    <xf numFmtId="0" fontId="30" fillId="25" borderId="14" xfId="0" applyFont="1" applyFill="1" applyBorder="1" applyAlignment="1" applyProtection="1">
      <alignment horizontal="left" vertical="center" shrinkToFit="1"/>
    </xf>
    <xf numFmtId="0" fontId="29" fillId="25" borderId="14" xfId="0" applyFont="1" applyFill="1" applyBorder="1" applyAlignment="1">
      <alignment horizontal="left" vertical="center" shrinkToFit="1"/>
    </xf>
    <xf numFmtId="0" fontId="30" fillId="0" borderId="0" xfId="48" applyFont="1" applyFill="1" applyBorder="1" applyAlignment="1">
      <alignment vertical="center"/>
    </xf>
    <xf numFmtId="0" fontId="30" fillId="0" borderId="35" xfId="48" applyFont="1" applyFill="1" applyBorder="1" applyAlignment="1">
      <alignment horizontal="center" vertical="center" wrapText="1"/>
    </xf>
    <xf numFmtId="0" fontId="30" fillId="0" borderId="35" xfId="48" applyFont="1" applyFill="1" applyBorder="1" applyAlignment="1">
      <alignment horizontal="center" vertical="center"/>
    </xf>
    <xf numFmtId="0" fontId="30" fillId="0" borderId="20" xfId="48" applyFont="1" applyFill="1" applyBorder="1" applyAlignment="1">
      <alignment horizontal="center" vertical="center" wrapText="1"/>
    </xf>
    <xf numFmtId="0" fontId="30" fillId="0" borderId="21" xfId="48" applyFont="1" applyFill="1" applyBorder="1" applyAlignment="1">
      <alignment horizontal="center" vertical="center" wrapText="1"/>
    </xf>
    <xf numFmtId="0" fontId="30" fillId="0" borderId="0" xfId="48" applyFont="1" applyFill="1" applyBorder="1" applyAlignment="1">
      <alignment horizontal="center" vertical="center" wrapText="1"/>
    </xf>
    <xf numFmtId="0" fontId="30" fillId="0" borderId="0" xfId="48" applyFont="1" applyFill="1" applyBorder="1" applyAlignment="1">
      <alignment horizontal="left" vertical="center"/>
    </xf>
    <xf numFmtId="0" fontId="49" fillId="0" borderId="0" xfId="48" applyFont="1" applyFill="1" applyBorder="1" applyAlignment="1">
      <alignment horizontal="center" vertical="center"/>
    </xf>
    <xf numFmtId="0" fontId="30" fillId="0" borderId="0" xfId="48" applyFont="1" applyFill="1" applyBorder="1" applyAlignment="1">
      <alignment vertical="center" wrapText="1"/>
    </xf>
    <xf numFmtId="0" fontId="30" fillId="0" borderId="0" xfId="48" applyFont="1" applyBorder="1" applyAlignment="1">
      <alignment vertical="center" wrapText="1"/>
    </xf>
    <xf numFmtId="0" fontId="30" fillId="0" borderId="0" xfId="48" applyFont="1" applyFill="1" applyBorder="1" applyAlignment="1">
      <alignment horizontal="left" vertical="center" wrapText="1"/>
    </xf>
    <xf numFmtId="0" fontId="30" fillId="0" borderId="20" xfId="48" applyFont="1" applyFill="1" applyBorder="1" applyAlignment="1">
      <alignment horizontal="center" vertical="center"/>
    </xf>
    <xf numFmtId="0" fontId="30" fillId="0" borderId="21" xfId="48" applyFont="1" applyFill="1" applyBorder="1" applyAlignment="1">
      <alignment horizontal="center" vertical="center"/>
    </xf>
    <xf numFmtId="0" fontId="43" fillId="0" borderId="0" xfId="48" applyFont="1" applyAlignment="1">
      <alignment horizontal="left" vertical="top" wrapText="1"/>
    </xf>
    <xf numFmtId="0" fontId="29" fillId="0" borderId="0" xfId="0" applyFont="1" applyAlignment="1" applyProtection="1">
      <alignment vertical="center"/>
    </xf>
    <xf numFmtId="0" fontId="29" fillId="0" borderId="0" xfId="48" applyFont="1" applyAlignment="1">
      <alignment vertical="center"/>
    </xf>
    <xf numFmtId="0" fontId="29" fillId="0" borderId="0" xfId="0" applyFont="1" applyAlignment="1" applyProtection="1">
      <alignment vertical="center"/>
    </xf>
    <xf numFmtId="0" fontId="47" fillId="0" borderId="0" xfId="0" applyFont="1" applyAlignment="1" applyProtection="1">
      <alignment vertical="center"/>
    </xf>
    <xf numFmtId="0" fontId="29" fillId="0" borderId="31" xfId="48" applyFont="1" applyBorder="1" applyAlignment="1">
      <alignment vertical="center"/>
    </xf>
    <xf numFmtId="0" fontId="29" fillId="0" borderId="11" xfId="48" applyFont="1" applyBorder="1" applyAlignment="1">
      <alignment vertical="center"/>
    </xf>
    <xf numFmtId="0" fontId="29" fillId="0" borderId="26" xfId="48" applyFont="1" applyBorder="1" applyAlignment="1">
      <alignment vertical="center"/>
    </xf>
    <xf numFmtId="0" fontId="1" fillId="0" borderId="0" xfId="0" applyFont="1" applyBorder="1" applyAlignment="1">
      <alignment vertical="center" wrapText="1"/>
    </xf>
    <xf numFmtId="0" fontId="1" fillId="0" borderId="27" xfId="0" applyFont="1" applyBorder="1" applyAlignment="1">
      <alignment vertical="center" wrapText="1"/>
    </xf>
    <xf numFmtId="0" fontId="1" fillId="0" borderId="10" xfId="0" applyFont="1" applyBorder="1" applyAlignment="1">
      <alignment vertical="center"/>
    </xf>
    <xf numFmtId="0" fontId="1" fillId="0" borderId="0" xfId="0" applyFont="1" applyBorder="1" applyAlignment="1">
      <alignment wrapText="1"/>
    </xf>
    <xf numFmtId="0" fontId="1" fillId="0" borderId="65" xfId="0" applyFont="1" applyBorder="1" applyAlignment="1">
      <alignment wrapText="1"/>
    </xf>
    <xf numFmtId="0" fontId="1" fillId="0" borderId="0" xfId="0" applyFont="1" applyAlignment="1">
      <alignment wrapText="1"/>
    </xf>
    <xf numFmtId="0" fontId="28" fillId="0" borderId="64" xfId="0" applyFont="1" applyFill="1" applyBorder="1" applyAlignment="1" applyProtection="1">
      <alignment vertical="center" wrapText="1"/>
    </xf>
    <xf numFmtId="0" fontId="29" fillId="0" borderId="64" xfId="0" applyFont="1" applyBorder="1" applyAlignment="1" applyProtection="1">
      <alignment vertical="center"/>
    </xf>
    <xf numFmtId="0" fontId="1" fillId="0" borderId="0" xfId="0" applyFont="1" applyBorder="1" applyAlignment="1">
      <alignment vertical="top" wrapText="1"/>
    </xf>
    <xf numFmtId="0" fontId="1" fillId="0" borderId="65" xfId="0" applyFont="1" applyBorder="1" applyAlignment="1">
      <alignment vertical="top" wrapText="1"/>
    </xf>
    <xf numFmtId="0" fontId="52" fillId="0" borderId="0" xfId="48" applyFont="1" applyAlignment="1">
      <alignment horizontal="center" vertical="center"/>
    </xf>
    <xf numFmtId="0" fontId="31" fillId="0" borderId="0" xfId="48" applyFont="1" applyBorder="1" applyAlignment="1" applyProtection="1">
      <alignment vertical="center"/>
      <protection locked="0"/>
    </xf>
    <xf numFmtId="0" fontId="31" fillId="0" borderId="0" xfId="48" applyFont="1" applyAlignment="1" applyProtection="1">
      <alignment vertical="center"/>
    </xf>
    <xf numFmtId="0" fontId="30" fillId="0" borderId="0" xfId="48" applyFont="1" applyBorder="1" applyAlignment="1" applyProtection="1">
      <alignment vertical="center"/>
    </xf>
    <xf numFmtId="0" fontId="60" fillId="0" borderId="0" xfId="47" applyFont="1" applyFill="1" applyAlignment="1">
      <alignment vertical="center"/>
    </xf>
    <xf numFmtId="0" fontId="29" fillId="0" borderId="0" xfId="0" applyFont="1" applyAlignment="1" applyProtection="1">
      <alignment vertical="top"/>
    </xf>
    <xf numFmtId="0" fontId="1" fillId="0" borderId="0" xfId="0" applyFont="1" applyAlignment="1">
      <alignment vertical="top" wrapText="1"/>
    </xf>
    <xf numFmtId="0" fontId="43" fillId="0" borderId="0" xfId="48" applyFont="1" applyAlignment="1">
      <alignment vertical="center"/>
    </xf>
    <xf numFmtId="0" fontId="29" fillId="0" borderId="0" xfId="48" applyFont="1" applyBorder="1" applyAlignment="1">
      <alignment horizontal="right" vertical="top"/>
    </xf>
    <xf numFmtId="0" fontId="52" fillId="0" borderId="0" xfId="48" applyFont="1" applyBorder="1" applyAlignment="1">
      <alignment horizontal="left" vertical="top"/>
    </xf>
    <xf numFmtId="0" fontId="1" fillId="0" borderId="10" xfId="0" applyFont="1" applyBorder="1" applyAlignment="1">
      <alignment vertical="center" wrapText="1"/>
    </xf>
    <xf numFmtId="0" fontId="52" fillId="0" borderId="0" xfId="48" applyFont="1" applyBorder="1" applyAlignment="1">
      <alignment horizontal="left" vertical="center"/>
    </xf>
    <xf numFmtId="0" fontId="36" fillId="0" borderId="0" xfId="0" applyFont="1" applyFill="1" applyBorder="1" applyAlignment="1" applyProtection="1">
      <alignment vertical="top" wrapText="1"/>
    </xf>
    <xf numFmtId="0" fontId="29" fillId="0" borderId="0" xfId="48" applyFont="1" applyAlignment="1">
      <alignment vertical="center"/>
    </xf>
    <xf numFmtId="0" fontId="30" fillId="26" borderId="35" xfId="48" applyFont="1" applyFill="1" applyBorder="1" applyAlignment="1">
      <alignment horizontal="center" vertical="center"/>
    </xf>
    <xf numFmtId="0" fontId="30" fillId="26" borderId="18" xfId="48" applyFont="1" applyFill="1" applyBorder="1" applyAlignment="1">
      <alignment horizontal="center" vertical="center"/>
    </xf>
    <xf numFmtId="0" fontId="30" fillId="26" borderId="0" xfId="48" applyFont="1" applyFill="1" applyBorder="1" applyAlignment="1">
      <alignment horizontal="center" vertical="center"/>
    </xf>
    <xf numFmtId="0" fontId="30" fillId="26" borderId="0" xfId="48" applyFont="1" applyFill="1" applyBorder="1" applyAlignment="1">
      <alignment vertical="center" wrapText="1"/>
    </xf>
    <xf numFmtId="0" fontId="49" fillId="26" borderId="0" xfId="48" applyFont="1" applyFill="1" applyBorder="1" applyAlignment="1">
      <alignment horizontal="center" vertical="center"/>
    </xf>
    <xf numFmtId="0" fontId="49" fillId="26" borderId="0" xfId="48" applyFont="1" applyFill="1" applyBorder="1" applyAlignment="1">
      <alignment vertical="center"/>
    </xf>
    <xf numFmtId="0" fontId="52" fillId="26" borderId="0" xfId="48" applyFont="1" applyFill="1" applyBorder="1" applyAlignment="1">
      <alignment horizontal="left" vertical="center"/>
    </xf>
    <xf numFmtId="0" fontId="30" fillId="26" borderId="0" xfId="48" applyFont="1" applyFill="1" applyBorder="1" applyAlignment="1" applyProtection="1">
      <alignment horizontal="center" vertical="center"/>
      <protection locked="0"/>
    </xf>
    <xf numFmtId="0" fontId="31" fillId="26" borderId="0" xfId="48" applyFont="1" applyFill="1" applyBorder="1" applyAlignment="1">
      <alignment vertical="center"/>
    </xf>
    <xf numFmtId="0" fontId="49" fillId="26" borderId="0" xfId="48" applyFont="1" applyFill="1" applyBorder="1" applyAlignment="1" applyProtection="1">
      <alignment horizontal="center" vertical="center"/>
      <protection locked="0"/>
    </xf>
    <xf numFmtId="0" fontId="30" fillId="26" borderId="20" xfId="48" applyFont="1" applyFill="1" applyBorder="1" applyAlignment="1">
      <alignment horizontal="center" vertical="center"/>
    </xf>
    <xf numFmtId="0" fontId="30" fillId="26" borderId="20" xfId="48" applyFont="1" applyFill="1" applyBorder="1" applyAlignment="1">
      <alignment horizontal="center" vertical="center" wrapText="1"/>
    </xf>
    <xf numFmtId="0" fontId="30" fillId="26" borderId="21" xfId="48" applyFont="1" applyFill="1" applyBorder="1" applyAlignment="1">
      <alignment horizontal="center" vertical="center" wrapText="1"/>
    </xf>
    <xf numFmtId="0" fontId="30" fillId="26" borderId="35" xfId="48" applyFont="1" applyFill="1" applyBorder="1" applyAlignment="1">
      <alignment horizontal="center" vertical="center" wrapText="1"/>
    </xf>
    <xf numFmtId="0" fontId="30" fillId="26" borderId="0" xfId="48" applyFont="1" applyFill="1" applyBorder="1" applyAlignment="1">
      <alignment horizontal="left" vertical="center" wrapText="1"/>
    </xf>
    <xf numFmtId="3" fontId="30" fillId="26" borderId="0" xfId="48" applyNumberFormat="1" applyFont="1" applyFill="1" applyBorder="1" applyAlignment="1">
      <alignment horizontal="center" vertical="center" wrapText="1"/>
    </xf>
    <xf numFmtId="0" fontId="30" fillId="26" borderId="21" xfId="48" applyFont="1" applyFill="1" applyBorder="1" applyAlignment="1">
      <alignment horizontal="center" vertical="center"/>
    </xf>
    <xf numFmtId="0" fontId="40" fillId="26" borderId="0" xfId="48" applyFont="1" applyFill="1" applyAlignment="1">
      <alignment vertical="center"/>
    </xf>
    <xf numFmtId="0" fontId="31" fillId="26" borderId="0" xfId="48" applyFont="1" applyFill="1" applyBorder="1" applyAlignment="1">
      <alignment horizontal="left" vertical="center"/>
    </xf>
    <xf numFmtId="0" fontId="31" fillId="26" borderId="0" xfId="48" applyFont="1" applyFill="1" applyBorder="1" applyAlignment="1">
      <alignment horizontal="center" vertical="center"/>
    </xf>
    <xf numFmtId="0" fontId="41" fillId="26" borderId="0" xfId="48" applyFont="1" applyFill="1" applyBorder="1" applyAlignment="1">
      <alignment horizontal="center" vertical="center"/>
    </xf>
    <xf numFmtId="0" fontId="41" fillId="26" borderId="0" xfId="48" applyFont="1" applyFill="1" applyBorder="1" applyAlignment="1">
      <alignment horizontal="justify" vertical="center"/>
    </xf>
    <xf numFmtId="0" fontId="29" fillId="26" borderId="0" xfId="48" applyFont="1" applyFill="1" applyBorder="1" applyAlignment="1">
      <alignment vertical="center"/>
    </xf>
    <xf numFmtId="0" fontId="30" fillId="26" borderId="0" xfId="48" applyFont="1" applyFill="1" applyBorder="1" applyAlignment="1">
      <alignment horizontal="left" vertical="top" wrapText="1"/>
    </xf>
    <xf numFmtId="0" fontId="3" fillId="26" borderId="0" xfId="0" applyFont="1" applyFill="1" applyAlignment="1"/>
    <xf numFmtId="0" fontId="30" fillId="26" borderId="0" xfId="48" applyFont="1" applyFill="1" applyBorder="1" applyAlignment="1">
      <alignment horizontal="justify" vertical="center"/>
    </xf>
    <xf numFmtId="0" fontId="30" fillId="26" borderId="0" xfId="48" applyFont="1" applyFill="1" applyBorder="1" applyAlignment="1">
      <alignment horizontal="center" vertical="center" wrapText="1"/>
    </xf>
    <xf numFmtId="0" fontId="30" fillId="26" borderId="0" xfId="48" applyFont="1" applyFill="1" applyBorder="1" applyAlignment="1">
      <alignment horizontal="left" vertical="center" wrapText="1"/>
    </xf>
    <xf numFmtId="0" fontId="30" fillId="26" borderId="0" xfId="48" applyFont="1" applyFill="1" applyBorder="1" applyAlignment="1">
      <alignment vertical="center" wrapText="1"/>
    </xf>
    <xf numFmtId="0" fontId="30" fillId="26" borderId="0" xfId="48" applyFont="1" applyFill="1" applyBorder="1" applyAlignment="1">
      <alignment horizontal="left" vertical="center"/>
    </xf>
    <xf numFmtId="0" fontId="30" fillId="26" borderId="0" xfId="48" applyFont="1" applyFill="1" applyBorder="1" applyAlignment="1">
      <alignment vertical="center"/>
    </xf>
    <xf numFmtId="0" fontId="31" fillId="26" borderId="0" xfId="48" applyFont="1" applyFill="1" applyBorder="1" applyAlignment="1" applyProtection="1">
      <alignment horizontal="left" vertical="center"/>
      <protection locked="0"/>
    </xf>
    <xf numFmtId="0" fontId="29" fillId="0" borderId="0" xfId="0" applyFont="1" applyAlignment="1" applyProtection="1">
      <alignment vertical="center"/>
    </xf>
    <xf numFmtId="0" fontId="41" fillId="0" borderId="35" xfId="0" applyFont="1" applyFill="1" applyBorder="1" applyAlignment="1" applyProtection="1">
      <alignment horizontal="center" vertical="center" wrapText="1"/>
    </xf>
    <xf numFmtId="0" fontId="41" fillId="0" borderId="35" xfId="0" applyFont="1" applyFill="1" applyBorder="1" applyAlignment="1" applyProtection="1">
      <alignment horizontal="center" vertical="center"/>
    </xf>
    <xf numFmtId="0" fontId="41" fillId="0" borderId="35" xfId="0" applyFont="1" applyBorder="1" applyAlignment="1" applyProtection="1">
      <alignment horizontal="center" vertical="center"/>
    </xf>
    <xf numFmtId="0" fontId="29" fillId="0" borderId="0" xfId="48" applyFont="1" applyAlignment="1">
      <alignment vertical="center"/>
    </xf>
    <xf numFmtId="0" fontId="30" fillId="26" borderId="35" xfId="48" applyFont="1" applyFill="1" applyBorder="1" applyAlignment="1">
      <alignment horizontal="center" vertical="center"/>
    </xf>
    <xf numFmtId="0" fontId="29" fillId="0" borderId="0" xfId="48" applyFont="1" applyAlignment="1">
      <alignment vertical="center"/>
    </xf>
    <xf numFmtId="0" fontId="30" fillId="26" borderId="20" xfId="48" applyFont="1" applyFill="1" applyBorder="1" applyAlignment="1">
      <alignment horizontal="center" vertical="center"/>
    </xf>
    <xf numFmtId="0" fontId="30" fillId="0" borderId="0" xfId="0" applyFont="1" applyBorder="1" applyAlignment="1" applyProtection="1">
      <alignment horizontal="center" vertical="center"/>
    </xf>
    <xf numFmtId="0" fontId="29" fillId="0" borderId="0" xfId="0" applyFont="1" applyAlignment="1" applyProtection="1">
      <alignment vertical="center"/>
    </xf>
    <xf numFmtId="0" fontId="41" fillId="0" borderId="35" xfId="0" applyFont="1" applyFill="1" applyBorder="1" applyAlignment="1" applyProtection="1">
      <alignment horizontal="center" vertical="center"/>
    </xf>
    <xf numFmtId="0" fontId="49" fillId="26" borderId="18" xfId="48" applyFont="1" applyFill="1" applyBorder="1" applyAlignment="1">
      <alignment horizontal="center" vertical="center"/>
    </xf>
    <xf numFmtId="0" fontId="49" fillId="26" borderId="12" xfId="48" applyFont="1" applyFill="1" applyBorder="1" applyAlignment="1">
      <alignment horizontal="center" vertical="center"/>
    </xf>
    <xf numFmtId="0" fontId="49" fillId="26" borderId="19" xfId="48" applyFont="1" applyFill="1" applyBorder="1" applyAlignment="1">
      <alignment horizontal="center" vertical="center"/>
    </xf>
    <xf numFmtId="0" fontId="30" fillId="26" borderId="20" xfId="48" applyFont="1" applyFill="1" applyBorder="1" applyAlignment="1">
      <alignment horizontal="center" vertical="center"/>
    </xf>
    <xf numFmtId="0" fontId="1" fillId="26" borderId="23" xfId="0" applyFont="1" applyFill="1" applyBorder="1" applyAlignment="1">
      <alignment horizontal="center" vertical="center"/>
    </xf>
    <xf numFmtId="0" fontId="1" fillId="26" borderId="21" xfId="0" applyFont="1" applyFill="1" applyBorder="1" applyAlignment="1">
      <alignment horizontal="center" vertical="center"/>
    </xf>
    <xf numFmtId="0" fontId="49" fillId="26" borderId="31" xfId="48" applyFont="1" applyFill="1" applyBorder="1" applyAlignment="1">
      <alignment horizontal="center" vertical="center"/>
    </xf>
    <xf numFmtId="0" fontId="49" fillId="26" borderId="11" xfId="48" applyFont="1" applyFill="1" applyBorder="1" applyAlignment="1">
      <alignment horizontal="center" vertical="center"/>
    </xf>
    <xf numFmtId="0" fontId="49" fillId="26" borderId="26" xfId="48" applyFont="1" applyFill="1" applyBorder="1" applyAlignment="1">
      <alignment horizontal="center" vertical="center"/>
    </xf>
    <xf numFmtId="0" fontId="1" fillId="26" borderId="25" xfId="0" applyFont="1" applyFill="1" applyBorder="1" applyAlignment="1">
      <alignment horizontal="center" vertical="center"/>
    </xf>
    <xf numFmtId="0" fontId="1" fillId="26" borderId="10" xfId="0" applyFont="1" applyFill="1" applyBorder="1" applyAlignment="1">
      <alignment horizontal="center" vertical="center"/>
    </xf>
    <xf numFmtId="0" fontId="1" fillId="26" borderId="22" xfId="0" applyFont="1" applyFill="1" applyBorder="1" applyAlignment="1">
      <alignment horizontal="center" vertical="center"/>
    </xf>
    <xf numFmtId="0" fontId="31" fillId="26" borderId="33" xfId="48" applyFont="1" applyFill="1" applyBorder="1" applyAlignment="1">
      <alignment vertical="center" wrapText="1"/>
    </xf>
    <xf numFmtId="0" fontId="53" fillId="26" borderId="0" xfId="0" applyFont="1" applyFill="1" applyBorder="1" applyAlignment="1">
      <alignment vertical="center" wrapText="1"/>
    </xf>
    <xf numFmtId="0" fontId="53" fillId="26" borderId="27" xfId="0" applyFont="1" applyFill="1" applyBorder="1" applyAlignment="1">
      <alignment vertical="center" wrapText="1"/>
    </xf>
    <xf numFmtId="0" fontId="61" fillId="26" borderId="25" xfId="48" applyFont="1" applyFill="1" applyBorder="1" applyAlignment="1">
      <alignment vertical="top" wrapText="1"/>
    </xf>
    <xf numFmtId="0" fontId="54" fillId="26" borderId="10" xfId="0" applyFont="1" applyFill="1" applyBorder="1" applyAlignment="1">
      <alignment vertical="top" wrapText="1"/>
    </xf>
    <xf numFmtId="0" fontId="54" fillId="26" borderId="22" xfId="0" applyFont="1" applyFill="1" applyBorder="1" applyAlignment="1">
      <alignment vertical="top" wrapText="1"/>
    </xf>
    <xf numFmtId="0" fontId="30" fillId="26" borderId="31" xfId="48" applyFont="1" applyFill="1" applyBorder="1" applyAlignment="1">
      <alignment horizontal="left" vertical="center" wrapText="1"/>
    </xf>
    <xf numFmtId="0" fontId="30" fillId="26" borderId="11" xfId="48" applyFont="1" applyFill="1" applyBorder="1" applyAlignment="1">
      <alignment horizontal="left" vertical="center" wrapText="1"/>
    </xf>
    <xf numFmtId="0" fontId="30" fillId="26" borderId="26" xfId="48" applyFont="1" applyFill="1" applyBorder="1" applyAlignment="1">
      <alignment horizontal="left" vertical="center" wrapText="1"/>
    </xf>
    <xf numFmtId="0" fontId="1" fillId="26" borderId="33" xfId="0" applyFont="1" applyFill="1" applyBorder="1" applyAlignment="1">
      <alignment horizontal="left" vertical="center" wrapText="1"/>
    </xf>
    <xf numFmtId="0" fontId="1" fillId="26" borderId="0" xfId="0" applyFont="1" applyFill="1" applyAlignment="1">
      <alignment horizontal="left" vertical="center" wrapText="1"/>
    </xf>
    <xf numFmtId="0" fontId="1" fillId="26" borderId="27" xfId="0" applyFont="1" applyFill="1" applyBorder="1" applyAlignment="1">
      <alignment horizontal="left" vertical="center" wrapText="1"/>
    </xf>
    <xf numFmtId="0" fontId="1" fillId="26" borderId="25" xfId="0" applyFont="1" applyFill="1" applyBorder="1" applyAlignment="1">
      <alignment horizontal="left" vertical="center" wrapText="1"/>
    </xf>
    <xf numFmtId="0" fontId="1" fillId="26" borderId="10" xfId="0" applyFont="1" applyFill="1" applyBorder="1" applyAlignment="1">
      <alignment horizontal="left" vertical="center" wrapText="1"/>
    </xf>
    <xf numFmtId="0" fontId="1" fillId="26" borderId="22" xfId="0" applyFont="1" applyFill="1" applyBorder="1" applyAlignment="1">
      <alignment horizontal="left" vertical="center" wrapText="1"/>
    </xf>
    <xf numFmtId="0" fontId="1" fillId="26" borderId="33" xfId="0" applyFont="1" applyFill="1" applyBorder="1" applyAlignment="1">
      <alignment horizontal="center" vertical="center"/>
    </xf>
    <xf numFmtId="0" fontId="1" fillId="26" borderId="0" xfId="0" applyFont="1" applyFill="1" applyAlignment="1">
      <alignment horizontal="center" vertical="center"/>
    </xf>
    <xf numFmtId="0" fontId="1" fillId="26" borderId="27" xfId="0" applyFont="1" applyFill="1" applyBorder="1" applyAlignment="1">
      <alignment horizontal="center" vertical="center"/>
    </xf>
    <xf numFmtId="0" fontId="31" fillId="26" borderId="31" xfId="48" applyFont="1" applyFill="1" applyBorder="1" applyAlignment="1">
      <alignment vertical="center" wrapText="1"/>
    </xf>
    <xf numFmtId="0" fontId="31" fillId="26" borderId="11" xfId="48" applyFont="1" applyFill="1" applyBorder="1" applyAlignment="1">
      <alignment vertical="center" wrapText="1"/>
    </xf>
    <xf numFmtId="0" fontId="31" fillId="26" borderId="26" xfId="48" applyFont="1" applyFill="1" applyBorder="1" applyAlignment="1">
      <alignment vertical="center" wrapText="1"/>
    </xf>
    <xf numFmtId="0" fontId="31" fillId="26" borderId="18" xfId="48" applyFont="1" applyFill="1" applyBorder="1" applyAlignment="1">
      <alignment horizontal="left" vertical="center" wrapText="1"/>
    </xf>
    <xf numFmtId="0" fontId="31" fillId="26" borderId="12" xfId="48" applyFont="1" applyFill="1" applyBorder="1" applyAlignment="1">
      <alignment horizontal="left" vertical="center" wrapText="1"/>
    </xf>
    <xf numFmtId="0" fontId="31" fillId="26" borderId="19" xfId="48" applyFont="1" applyFill="1" applyBorder="1" applyAlignment="1">
      <alignment horizontal="left" vertical="center" wrapText="1"/>
    </xf>
    <xf numFmtId="0" fontId="30" fillId="26" borderId="18" xfId="48" applyFont="1" applyFill="1" applyBorder="1" applyAlignment="1">
      <alignment horizontal="left" vertical="center"/>
    </xf>
    <xf numFmtId="0" fontId="30" fillId="26" borderId="12" xfId="48" applyFont="1" applyFill="1" applyBorder="1" applyAlignment="1">
      <alignment horizontal="left" vertical="center"/>
    </xf>
    <xf numFmtId="0" fontId="30" fillId="26" borderId="19" xfId="48" applyFont="1" applyFill="1" applyBorder="1" applyAlignment="1">
      <alignment horizontal="left" vertical="center"/>
    </xf>
    <xf numFmtId="0" fontId="30" fillId="26" borderId="18" xfId="48" applyFont="1" applyFill="1" applyBorder="1" applyAlignment="1">
      <alignment horizontal="center" vertical="center" wrapText="1"/>
    </xf>
    <xf numFmtId="0" fontId="30" fillId="26" borderId="12" xfId="48" applyFont="1" applyFill="1" applyBorder="1" applyAlignment="1">
      <alignment horizontal="center" vertical="center" wrapText="1"/>
    </xf>
    <xf numFmtId="0" fontId="30" fillId="26" borderId="19" xfId="48" applyFont="1" applyFill="1" applyBorder="1" applyAlignment="1">
      <alignment horizontal="center" vertical="center" wrapText="1"/>
    </xf>
    <xf numFmtId="0" fontId="30" fillId="26" borderId="18" xfId="48" applyFont="1" applyFill="1" applyBorder="1" applyAlignment="1">
      <alignment vertical="center" wrapText="1"/>
    </xf>
    <xf numFmtId="0" fontId="30" fillId="26" borderId="12" xfId="48" applyFont="1" applyFill="1" applyBorder="1" applyAlignment="1">
      <alignment vertical="center" wrapText="1"/>
    </xf>
    <xf numFmtId="0" fontId="30" fillId="26" borderId="19" xfId="48" applyFont="1" applyFill="1" applyBorder="1" applyAlignment="1">
      <alignment vertical="center" wrapText="1"/>
    </xf>
    <xf numFmtId="0" fontId="30" fillId="26" borderId="18" xfId="48" applyFont="1" applyFill="1" applyBorder="1" applyAlignment="1">
      <alignment horizontal="left" vertical="center" wrapText="1"/>
    </xf>
    <xf numFmtId="0" fontId="30" fillId="26" borderId="12" xfId="48" applyFont="1" applyFill="1" applyBorder="1" applyAlignment="1">
      <alignment horizontal="left" vertical="center" wrapText="1"/>
    </xf>
    <xf numFmtId="0" fontId="30" fillId="26" borderId="19" xfId="48" applyFont="1" applyFill="1" applyBorder="1" applyAlignment="1">
      <alignment horizontal="left" vertical="center" wrapText="1"/>
    </xf>
    <xf numFmtId="0" fontId="34" fillId="0" borderId="64" xfId="48" applyFont="1" applyBorder="1" applyAlignment="1">
      <alignment vertical="center" wrapText="1"/>
    </xf>
    <xf numFmtId="0" fontId="1" fillId="0" borderId="0" xfId="0" applyFont="1" applyAlignment="1">
      <alignment vertical="center" wrapText="1"/>
    </xf>
    <xf numFmtId="0" fontId="29" fillId="0" borderId="33" xfId="48" applyFont="1" applyBorder="1" applyAlignment="1">
      <alignment vertical="center" wrapText="1"/>
    </xf>
    <xf numFmtId="0" fontId="1" fillId="0" borderId="0" xfId="0" applyFont="1" applyBorder="1" applyAlignment="1">
      <alignment vertical="center" wrapText="1"/>
    </xf>
    <xf numFmtId="0" fontId="1" fillId="0" borderId="27" xfId="0" applyFont="1" applyBorder="1" applyAlignment="1">
      <alignment vertical="center" wrapText="1"/>
    </xf>
    <xf numFmtId="0" fontId="29" fillId="29" borderId="48" xfId="48" applyFont="1" applyFill="1" applyBorder="1" applyAlignment="1">
      <alignment horizontal="center" vertical="center"/>
    </xf>
    <xf numFmtId="0" fontId="1" fillId="29" borderId="49" xfId="0" applyFont="1" applyFill="1" applyBorder="1" applyAlignment="1">
      <alignment horizontal="center" vertical="center"/>
    </xf>
    <xf numFmtId="0" fontId="1" fillId="29" borderId="50" xfId="0" applyFont="1" applyFill="1" applyBorder="1" applyAlignment="1">
      <alignment horizontal="center" vertical="center"/>
    </xf>
    <xf numFmtId="0" fontId="28" fillId="0" borderId="0" xfId="0" applyFont="1" applyAlignment="1">
      <alignment vertical="center" wrapText="1"/>
    </xf>
    <xf numFmtId="0" fontId="31" fillId="26" borderId="18" xfId="48" applyFont="1" applyFill="1" applyBorder="1" applyAlignment="1">
      <alignment horizontal="center" vertical="center" wrapText="1"/>
    </xf>
    <xf numFmtId="0" fontId="31" fillId="26" borderId="12" xfId="48" applyFont="1" applyFill="1" applyBorder="1" applyAlignment="1">
      <alignment horizontal="center" vertical="center" wrapText="1"/>
    </xf>
    <xf numFmtId="0" fontId="31" fillId="26" borderId="19" xfId="48" applyFont="1" applyFill="1" applyBorder="1" applyAlignment="1">
      <alignment horizontal="center" vertical="center" wrapText="1"/>
    </xf>
    <xf numFmtId="0" fontId="30" fillId="26" borderId="20" xfId="48" quotePrefix="1" applyNumberFormat="1" applyFont="1" applyFill="1" applyBorder="1" applyAlignment="1">
      <alignment horizontal="center" vertical="center"/>
    </xf>
    <xf numFmtId="0" fontId="1" fillId="26" borderId="21" xfId="0" applyNumberFormat="1" applyFont="1" applyFill="1" applyBorder="1" applyAlignment="1">
      <alignment horizontal="center" vertical="center"/>
    </xf>
    <xf numFmtId="9" fontId="30" fillId="26" borderId="18" xfId="48" applyNumberFormat="1" applyFont="1" applyFill="1" applyBorder="1" applyAlignment="1">
      <alignment horizontal="center" vertical="center" wrapText="1"/>
    </xf>
    <xf numFmtId="0" fontId="30" fillId="26" borderId="21" xfId="48" applyFont="1" applyFill="1" applyBorder="1" applyAlignment="1">
      <alignment horizontal="center" vertical="center"/>
    </xf>
    <xf numFmtId="0" fontId="30" fillId="26" borderId="25" xfId="48" applyFont="1" applyFill="1" applyBorder="1" applyAlignment="1">
      <alignment horizontal="left" vertical="center" wrapText="1"/>
    </xf>
    <xf numFmtId="0" fontId="30" fillId="26" borderId="10" xfId="48" applyFont="1" applyFill="1" applyBorder="1" applyAlignment="1">
      <alignment horizontal="left" vertical="center" wrapText="1"/>
    </xf>
    <xf numFmtId="0" fontId="30" fillId="26" borderId="22" xfId="48" applyFont="1" applyFill="1" applyBorder="1" applyAlignment="1">
      <alignment horizontal="left" vertical="center" wrapText="1"/>
    </xf>
    <xf numFmtId="0" fontId="30" fillId="26" borderId="51" xfId="48" applyFont="1" applyFill="1" applyBorder="1" applyAlignment="1">
      <alignment horizontal="center" vertical="center" wrapText="1"/>
    </xf>
    <xf numFmtId="0" fontId="30" fillId="26" borderId="52" xfId="48" applyFont="1" applyFill="1" applyBorder="1" applyAlignment="1">
      <alignment horizontal="center" vertical="center" wrapText="1"/>
    </xf>
    <xf numFmtId="0" fontId="30" fillId="26" borderId="53" xfId="48" applyFont="1" applyFill="1" applyBorder="1" applyAlignment="1">
      <alignment horizontal="center" vertical="center" wrapText="1"/>
    </xf>
    <xf numFmtId="0" fontId="30" fillId="26" borderId="51" xfId="48" applyFont="1" applyFill="1" applyBorder="1" applyAlignment="1">
      <alignment horizontal="left" vertical="center" wrapText="1"/>
    </xf>
    <xf numFmtId="0" fontId="30" fillId="26" borderId="52" xfId="48" applyFont="1" applyFill="1" applyBorder="1" applyAlignment="1">
      <alignment horizontal="left" vertical="center" wrapText="1"/>
    </xf>
    <xf numFmtId="0" fontId="30" fillId="26" borderId="53" xfId="48" applyFont="1" applyFill="1" applyBorder="1" applyAlignment="1">
      <alignment horizontal="left" vertical="center" wrapText="1"/>
    </xf>
    <xf numFmtId="3" fontId="30" fillId="26" borderId="29" xfId="48" applyNumberFormat="1" applyFont="1" applyFill="1" applyBorder="1" applyAlignment="1">
      <alignment horizontal="center" vertical="center" wrapText="1"/>
    </xf>
    <xf numFmtId="3" fontId="30" fillId="26" borderId="34" xfId="48" applyNumberFormat="1" applyFont="1" applyFill="1" applyBorder="1" applyAlignment="1">
      <alignment horizontal="center" vertical="center" wrapText="1"/>
    </xf>
    <xf numFmtId="3" fontId="30" fillId="26" borderId="30" xfId="48" applyNumberFormat="1" applyFont="1" applyFill="1" applyBorder="1" applyAlignment="1">
      <alignment horizontal="center" vertical="center" wrapText="1"/>
    </xf>
    <xf numFmtId="0" fontId="30" fillId="26" borderId="29" xfId="48" applyFont="1" applyFill="1" applyBorder="1" applyAlignment="1">
      <alignment horizontal="left" vertical="center" wrapText="1"/>
    </xf>
    <xf numFmtId="0" fontId="30" fillId="26" borderId="34" xfId="48" applyFont="1" applyFill="1" applyBorder="1" applyAlignment="1">
      <alignment horizontal="left" vertical="center" wrapText="1"/>
    </xf>
    <xf numFmtId="0" fontId="30" fillId="26" borderId="30" xfId="48" applyFont="1" applyFill="1" applyBorder="1" applyAlignment="1">
      <alignment horizontal="left" vertical="center" wrapText="1"/>
    </xf>
    <xf numFmtId="0" fontId="30" fillId="26" borderId="18" xfId="48" applyFont="1" applyFill="1" applyBorder="1" applyAlignment="1">
      <alignment horizontal="center" vertical="center"/>
    </xf>
    <xf numFmtId="0" fontId="30" fillId="26" borderId="12" xfId="48" applyFont="1" applyFill="1" applyBorder="1" applyAlignment="1">
      <alignment horizontal="center" vertical="center"/>
    </xf>
    <xf numFmtId="0" fontId="30" fillId="26" borderId="19" xfId="48" applyFont="1" applyFill="1" applyBorder="1" applyAlignment="1">
      <alignment horizontal="center" vertical="center"/>
    </xf>
    <xf numFmtId="0" fontId="30" fillId="26" borderId="18" xfId="48" applyFont="1" applyFill="1" applyBorder="1" applyAlignment="1">
      <alignment horizontal="justify" vertical="center"/>
    </xf>
    <xf numFmtId="0" fontId="30" fillId="26" borderId="12" xfId="48" applyFont="1" applyFill="1" applyBorder="1" applyAlignment="1">
      <alignment horizontal="justify" vertical="center"/>
    </xf>
    <xf numFmtId="0" fontId="30" fillId="26" borderId="19" xfId="48" applyFont="1" applyFill="1" applyBorder="1" applyAlignment="1">
      <alignment horizontal="justify" vertical="center"/>
    </xf>
    <xf numFmtId="0" fontId="1" fillId="26" borderId="12" xfId="0" applyFont="1" applyFill="1" applyBorder="1" applyAlignment="1">
      <alignment vertical="center"/>
    </xf>
    <xf numFmtId="0" fontId="1" fillId="26" borderId="19" xfId="0" applyFont="1" applyFill="1" applyBorder="1" applyAlignment="1">
      <alignment vertical="center"/>
    </xf>
    <xf numFmtId="0" fontId="30" fillId="26" borderId="23" xfId="48" applyFont="1" applyFill="1" applyBorder="1" applyAlignment="1">
      <alignment horizontal="center" vertical="center"/>
    </xf>
    <xf numFmtId="0" fontId="31" fillId="26" borderId="29" xfId="48" applyFont="1" applyFill="1" applyBorder="1" applyAlignment="1">
      <alignment horizontal="center" vertical="center" wrapText="1"/>
    </xf>
    <xf numFmtId="0" fontId="31" fillId="26" borderId="34" xfId="48" applyFont="1" applyFill="1" applyBorder="1" applyAlignment="1">
      <alignment horizontal="center" vertical="center" wrapText="1"/>
    </xf>
    <xf numFmtId="0" fontId="31" fillId="26" borderId="30" xfId="48" applyFont="1" applyFill="1" applyBorder="1" applyAlignment="1">
      <alignment horizontal="center" vertical="center" wrapText="1"/>
    </xf>
    <xf numFmtId="3" fontId="30" fillId="26" borderId="18" xfId="48" applyNumberFormat="1" applyFont="1" applyFill="1" applyBorder="1" applyAlignment="1">
      <alignment horizontal="center" vertical="center" wrapText="1"/>
    </xf>
    <xf numFmtId="3" fontId="30" fillId="26" borderId="12" xfId="48" applyNumberFormat="1" applyFont="1" applyFill="1" applyBorder="1" applyAlignment="1">
      <alignment horizontal="center" vertical="center" wrapText="1"/>
    </xf>
    <xf numFmtId="3" fontId="30" fillId="26" borderId="19" xfId="48" applyNumberFormat="1" applyFont="1" applyFill="1" applyBorder="1" applyAlignment="1">
      <alignment horizontal="center" vertical="center" wrapText="1"/>
    </xf>
    <xf numFmtId="0" fontId="30" fillId="26" borderId="51" xfId="48" applyFont="1" applyFill="1" applyBorder="1" applyAlignment="1">
      <alignment vertical="center" wrapText="1"/>
    </xf>
    <xf numFmtId="0" fontId="30" fillId="26" borderId="52" xfId="48" applyFont="1" applyFill="1" applyBorder="1" applyAlignment="1">
      <alignment vertical="center" wrapText="1"/>
    </xf>
    <xf numFmtId="0" fontId="30" fillId="26" borderId="53" xfId="48" applyFont="1" applyFill="1" applyBorder="1" applyAlignment="1">
      <alignment vertical="center" wrapText="1"/>
    </xf>
    <xf numFmtId="0" fontId="30" fillId="26" borderId="43" xfId="48" applyFont="1" applyFill="1" applyBorder="1" applyAlignment="1">
      <alignment vertical="center" wrapText="1"/>
    </xf>
    <xf numFmtId="0" fontId="30" fillId="26" borderId="14" xfId="48" applyFont="1" applyFill="1" applyBorder="1" applyAlignment="1">
      <alignment vertical="center" wrapText="1"/>
    </xf>
    <xf numFmtId="0" fontId="30" fillId="26" borderId="44" xfId="48" applyFont="1" applyFill="1" applyBorder="1" applyAlignment="1">
      <alignment vertical="center" wrapText="1"/>
    </xf>
    <xf numFmtId="0" fontId="30" fillId="26" borderId="43" xfId="48" applyFont="1" applyFill="1" applyBorder="1" applyAlignment="1">
      <alignment horizontal="center" vertical="center" wrapText="1"/>
    </xf>
    <xf numFmtId="0" fontId="30" fillId="26" borderId="14" xfId="48" applyFont="1" applyFill="1" applyBorder="1" applyAlignment="1">
      <alignment horizontal="center" vertical="center" wrapText="1"/>
    </xf>
    <xf numFmtId="0" fontId="30" fillId="26" borderId="44" xfId="48" applyFont="1" applyFill="1" applyBorder="1" applyAlignment="1">
      <alignment horizontal="center" vertical="center" wrapText="1"/>
    </xf>
    <xf numFmtId="0" fontId="30" fillId="26" borderId="29" xfId="48" applyFont="1" applyFill="1" applyBorder="1" applyAlignment="1">
      <alignment vertical="center" wrapText="1"/>
    </xf>
    <xf numFmtId="0" fontId="30" fillId="26" borderId="34" xfId="48" applyFont="1" applyFill="1" applyBorder="1" applyAlignment="1">
      <alignment vertical="center" wrapText="1"/>
    </xf>
    <xf numFmtId="0" fontId="30" fillId="26" borderId="30" xfId="48" applyFont="1" applyFill="1" applyBorder="1" applyAlignment="1">
      <alignment vertical="center" wrapText="1"/>
    </xf>
    <xf numFmtId="3" fontId="31" fillId="26" borderId="29" xfId="48" applyNumberFormat="1" applyFont="1" applyFill="1" applyBorder="1" applyAlignment="1">
      <alignment horizontal="center" vertical="center" wrapText="1"/>
    </xf>
    <xf numFmtId="3" fontId="31" fillId="26" borderId="34" xfId="48" applyNumberFormat="1" applyFont="1" applyFill="1" applyBorder="1" applyAlignment="1">
      <alignment horizontal="center" vertical="center" wrapText="1"/>
    </xf>
    <xf numFmtId="3" fontId="31" fillId="26" borderId="30" xfId="48" applyNumberFormat="1" applyFont="1" applyFill="1" applyBorder="1" applyAlignment="1">
      <alignment horizontal="center" vertical="center" wrapText="1"/>
    </xf>
    <xf numFmtId="0" fontId="30" fillId="26" borderId="18" xfId="48" applyFont="1" applyFill="1" applyBorder="1" applyAlignment="1">
      <alignment horizontal="justify" vertical="center" wrapText="1"/>
    </xf>
    <xf numFmtId="0" fontId="30" fillId="26" borderId="12" xfId="48" applyFont="1" applyFill="1" applyBorder="1" applyAlignment="1">
      <alignment horizontal="justify" vertical="center" wrapText="1"/>
    </xf>
    <xf numFmtId="0" fontId="30" fillId="26" borderId="19" xfId="48" applyFont="1" applyFill="1" applyBorder="1" applyAlignment="1">
      <alignment horizontal="justify" vertical="center" wrapText="1"/>
    </xf>
    <xf numFmtId="0" fontId="30" fillId="26" borderId="18" xfId="48" applyFont="1" applyFill="1" applyBorder="1" applyAlignment="1">
      <alignment horizontal="center" vertical="top" wrapText="1"/>
    </xf>
    <xf numFmtId="0" fontId="30" fillId="26" borderId="12" xfId="48" applyFont="1" applyFill="1" applyBorder="1" applyAlignment="1">
      <alignment horizontal="center" vertical="top" wrapText="1"/>
    </xf>
    <xf numFmtId="0" fontId="30" fillId="26" borderId="19" xfId="48" applyFont="1" applyFill="1" applyBorder="1" applyAlignment="1">
      <alignment horizontal="center" vertical="top" wrapText="1"/>
    </xf>
    <xf numFmtId="3" fontId="61" fillId="26" borderId="18" xfId="48" applyNumberFormat="1" applyFont="1" applyFill="1" applyBorder="1" applyAlignment="1">
      <alignment horizontal="center" vertical="center" wrapText="1"/>
    </xf>
    <xf numFmtId="3" fontId="61" fillId="26" borderId="12" xfId="48" applyNumberFormat="1" applyFont="1" applyFill="1" applyBorder="1" applyAlignment="1">
      <alignment horizontal="center" vertical="center" wrapText="1"/>
    </xf>
    <xf numFmtId="3" fontId="61" fillId="26" borderId="19" xfId="48" applyNumberFormat="1" applyFont="1" applyFill="1" applyBorder="1" applyAlignment="1">
      <alignment horizontal="center" vertical="center" wrapText="1"/>
    </xf>
    <xf numFmtId="0" fontId="43" fillId="26" borderId="18" xfId="0" applyFont="1" applyFill="1" applyBorder="1" applyAlignment="1">
      <alignment horizontal="left" vertical="center"/>
    </xf>
    <xf numFmtId="0" fontId="3" fillId="0" borderId="12" xfId="0" applyFont="1" applyBorder="1" applyAlignment="1">
      <alignment horizontal="left" vertical="center"/>
    </xf>
    <xf numFmtId="0" fontId="3" fillId="0" borderId="19" xfId="0" applyFont="1" applyBorder="1" applyAlignment="1">
      <alignment horizontal="left" vertical="center"/>
    </xf>
    <xf numFmtId="0" fontId="30" fillId="26" borderId="20" xfId="48" applyFont="1" applyFill="1" applyBorder="1" applyAlignment="1">
      <alignment horizontal="center" vertical="center" wrapText="1"/>
    </xf>
    <xf numFmtId="0" fontId="30" fillId="26" borderId="23" xfId="48" applyFont="1" applyFill="1" applyBorder="1" applyAlignment="1">
      <alignment horizontal="center" vertical="center" wrapText="1"/>
    </xf>
    <xf numFmtId="0" fontId="30" fillId="26" borderId="21" xfId="48" applyFont="1" applyFill="1" applyBorder="1" applyAlignment="1">
      <alignment horizontal="center" vertical="center" wrapText="1"/>
    </xf>
    <xf numFmtId="3" fontId="30" fillId="26" borderId="18" xfId="48" applyNumberFormat="1" applyFont="1" applyFill="1" applyBorder="1" applyAlignment="1">
      <alignment horizontal="left" vertical="center"/>
    </xf>
    <xf numFmtId="3" fontId="30" fillId="26" borderId="12" xfId="48" applyNumberFormat="1" applyFont="1" applyFill="1" applyBorder="1" applyAlignment="1">
      <alignment horizontal="left" vertical="center"/>
    </xf>
    <xf numFmtId="3" fontId="30" fillId="26" borderId="19" xfId="48" applyNumberFormat="1" applyFont="1" applyFill="1" applyBorder="1" applyAlignment="1">
      <alignment horizontal="left" vertical="center"/>
    </xf>
    <xf numFmtId="3" fontId="49" fillId="26" borderId="54" xfId="48" applyNumberFormat="1" applyFont="1" applyFill="1" applyBorder="1" applyAlignment="1">
      <alignment horizontal="center" vertical="center"/>
    </xf>
    <xf numFmtId="3" fontId="49" fillId="26" borderId="55" xfId="48" applyNumberFormat="1" applyFont="1" applyFill="1" applyBorder="1" applyAlignment="1">
      <alignment horizontal="center" vertical="center"/>
    </xf>
    <xf numFmtId="3" fontId="49" fillId="26" borderId="56" xfId="48" applyNumberFormat="1" applyFont="1" applyFill="1" applyBorder="1" applyAlignment="1">
      <alignment horizontal="center" vertical="center"/>
    </xf>
    <xf numFmtId="0" fontId="30" fillId="26" borderId="31" xfId="48" applyFont="1" applyFill="1" applyBorder="1" applyAlignment="1">
      <alignment horizontal="center" vertical="center" wrapText="1"/>
    </xf>
    <xf numFmtId="0" fontId="30" fillId="26" borderId="11" xfId="48" applyFont="1" applyFill="1" applyBorder="1" applyAlignment="1">
      <alignment horizontal="center" vertical="center" wrapText="1"/>
    </xf>
    <xf numFmtId="0" fontId="30" fillId="26" borderId="26" xfId="48" applyFont="1" applyFill="1" applyBorder="1" applyAlignment="1">
      <alignment horizontal="center" vertical="center" wrapText="1"/>
    </xf>
    <xf numFmtId="0" fontId="30" fillId="26" borderId="33" xfId="48" applyFont="1" applyFill="1" applyBorder="1" applyAlignment="1">
      <alignment horizontal="center" vertical="center" wrapText="1"/>
    </xf>
    <xf numFmtId="0" fontId="30" fillId="26" borderId="0" xfId="48" applyFont="1" applyFill="1" applyBorder="1" applyAlignment="1">
      <alignment horizontal="center" vertical="center" wrapText="1"/>
    </xf>
    <xf numFmtId="0" fontId="30" fillId="26" borderId="27" xfId="48" applyFont="1" applyFill="1" applyBorder="1" applyAlignment="1">
      <alignment horizontal="center" vertical="center" wrapText="1"/>
    </xf>
    <xf numFmtId="0" fontId="30" fillId="26" borderId="25" xfId="48" applyFont="1" applyFill="1" applyBorder="1" applyAlignment="1">
      <alignment horizontal="center" vertical="center" wrapText="1"/>
    </xf>
    <xf numFmtId="0" fontId="30" fillId="26" borderId="10" xfId="48" applyFont="1" applyFill="1" applyBorder="1" applyAlignment="1">
      <alignment horizontal="center" vertical="center" wrapText="1"/>
    </xf>
    <xf numFmtId="0" fontId="30" fillId="26" borderId="22" xfId="48" applyFont="1" applyFill="1" applyBorder="1" applyAlignment="1">
      <alignment horizontal="center" vertical="center" wrapText="1"/>
    </xf>
    <xf numFmtId="0" fontId="30" fillId="26" borderId="33" xfId="48" applyFont="1" applyFill="1" applyBorder="1" applyAlignment="1">
      <alignment horizontal="left" vertical="center" wrapText="1"/>
    </xf>
    <xf numFmtId="0" fontId="30" fillId="26" borderId="0" xfId="48" applyFont="1" applyFill="1" applyBorder="1" applyAlignment="1">
      <alignment horizontal="left" vertical="center" wrapText="1"/>
    </xf>
    <xf numFmtId="0" fontId="30" fillId="26" borderId="27" xfId="48" applyFont="1" applyFill="1" applyBorder="1" applyAlignment="1">
      <alignment horizontal="left" vertical="center" wrapText="1"/>
    </xf>
    <xf numFmtId="0" fontId="49" fillId="26" borderId="33" xfId="48" applyFont="1" applyFill="1" applyBorder="1" applyAlignment="1">
      <alignment horizontal="center" vertical="center"/>
    </xf>
    <xf numFmtId="0" fontId="49" fillId="26" borderId="0" xfId="48" applyFont="1" applyFill="1" applyBorder="1" applyAlignment="1">
      <alignment horizontal="center" vertical="center"/>
    </xf>
    <xf numFmtId="0" fontId="49" fillId="26" borderId="27" xfId="48" applyFont="1" applyFill="1" applyBorder="1" applyAlignment="1">
      <alignment horizontal="center" vertical="center"/>
    </xf>
    <xf numFmtId="0" fontId="49" fillId="26" borderId="25" xfId="48" applyFont="1" applyFill="1" applyBorder="1" applyAlignment="1">
      <alignment horizontal="center" vertical="center"/>
    </xf>
    <xf numFmtId="0" fontId="49" fillId="26" borderId="10" xfId="48" applyFont="1" applyFill="1" applyBorder="1" applyAlignment="1">
      <alignment horizontal="center" vertical="center"/>
    </xf>
    <xf numFmtId="0" fontId="49" fillId="26" borderId="22" xfId="48" applyFont="1" applyFill="1" applyBorder="1" applyAlignment="1">
      <alignment horizontal="center" vertical="center"/>
    </xf>
    <xf numFmtId="14" fontId="30" fillId="26" borderId="20" xfId="48" quotePrefix="1" applyNumberFormat="1" applyFont="1" applyFill="1" applyBorder="1" applyAlignment="1">
      <alignment horizontal="center" vertical="center"/>
    </xf>
    <xf numFmtId="14" fontId="30" fillId="26" borderId="23" xfId="48" quotePrefix="1" applyNumberFormat="1" applyFont="1" applyFill="1" applyBorder="1" applyAlignment="1">
      <alignment horizontal="center" vertical="center"/>
    </xf>
    <xf numFmtId="14" fontId="30" fillId="26" borderId="21" xfId="48" quotePrefix="1" applyNumberFormat="1" applyFont="1" applyFill="1" applyBorder="1" applyAlignment="1">
      <alignment horizontal="center" vertical="center"/>
    </xf>
    <xf numFmtId="49" fontId="30" fillId="26" borderId="20" xfId="48" applyNumberFormat="1" applyFont="1" applyFill="1" applyBorder="1" applyAlignment="1">
      <alignment horizontal="center" vertical="center"/>
    </xf>
    <xf numFmtId="49" fontId="30" fillId="26" borderId="23" xfId="48" applyNumberFormat="1" applyFont="1" applyFill="1" applyBorder="1" applyAlignment="1">
      <alignment horizontal="center" vertical="center"/>
    </xf>
    <xf numFmtId="49" fontId="30" fillId="26" borderId="21" xfId="48" applyNumberFormat="1" applyFont="1" applyFill="1" applyBorder="1" applyAlignment="1">
      <alignment horizontal="center" vertical="center"/>
    </xf>
    <xf numFmtId="0" fontId="31" fillId="0" borderId="35" xfId="0" applyFont="1" applyFill="1" applyBorder="1" applyAlignment="1" applyProtection="1">
      <alignment horizontal="center" vertical="center"/>
      <protection locked="0"/>
    </xf>
    <xf numFmtId="0" fontId="30" fillId="26" borderId="35" xfId="48" applyFont="1" applyFill="1" applyBorder="1" applyAlignment="1">
      <alignment horizontal="center" vertical="center" wrapText="1"/>
    </xf>
    <xf numFmtId="0" fontId="30" fillId="26" borderId="35" xfId="48" applyFont="1" applyFill="1" applyBorder="1" applyAlignment="1">
      <alignment vertical="center" wrapText="1"/>
    </xf>
    <xf numFmtId="0" fontId="30" fillId="26" borderId="35" xfId="48" applyFont="1" applyFill="1" applyBorder="1" applyAlignment="1">
      <alignment horizontal="center" vertical="center"/>
    </xf>
    <xf numFmtId="0" fontId="30" fillId="26" borderId="35" xfId="48" applyFont="1" applyFill="1" applyBorder="1" applyAlignment="1">
      <alignment vertical="center"/>
    </xf>
    <xf numFmtId="0" fontId="1" fillId="26" borderId="12" xfId="0" applyFont="1" applyFill="1" applyBorder="1" applyAlignment="1">
      <alignment horizontal="left" vertical="center"/>
    </xf>
    <xf numFmtId="0" fontId="1" fillId="26" borderId="19" xfId="0" applyFont="1" applyFill="1" applyBorder="1" applyAlignment="1">
      <alignment horizontal="left" vertical="center"/>
    </xf>
    <xf numFmtId="0" fontId="53" fillId="26" borderId="12" xfId="0" applyFont="1" applyFill="1" applyBorder="1" applyAlignment="1">
      <alignment horizontal="left" vertical="center"/>
    </xf>
    <xf numFmtId="0" fontId="53" fillId="26" borderId="19" xfId="0" applyFont="1" applyFill="1" applyBorder="1" applyAlignment="1">
      <alignment horizontal="left" vertical="center"/>
    </xf>
    <xf numFmtId="0" fontId="29" fillId="25" borderId="18" xfId="48" applyFont="1" applyFill="1" applyBorder="1" applyAlignment="1">
      <alignment horizontal="center" shrinkToFit="1"/>
    </xf>
    <xf numFmtId="0" fontId="29" fillId="25" borderId="12" xfId="48" applyFont="1" applyFill="1" applyBorder="1" applyAlignment="1">
      <alignment horizontal="center" shrinkToFit="1"/>
    </xf>
    <xf numFmtId="0" fontId="29" fillId="25" borderId="19" xfId="48" applyFont="1" applyFill="1" applyBorder="1" applyAlignment="1">
      <alignment horizontal="center" shrinkToFit="1"/>
    </xf>
    <xf numFmtId="0" fontId="0" fillId="0" borderId="11" xfId="0" applyBorder="1" applyAlignment="1">
      <alignment horizontal="left" vertical="center"/>
    </xf>
    <xf numFmtId="0" fontId="0" fillId="0" borderId="26" xfId="0" applyBorder="1" applyAlignment="1">
      <alignment horizontal="left" vertical="center"/>
    </xf>
    <xf numFmtId="0" fontId="0" fillId="0" borderId="33" xfId="0" applyBorder="1" applyAlignment="1">
      <alignment horizontal="left" vertical="center"/>
    </xf>
    <xf numFmtId="0" fontId="0" fillId="0" borderId="0" xfId="0" applyAlignment="1">
      <alignment horizontal="left" vertical="center"/>
    </xf>
    <xf numFmtId="0" fontId="0" fillId="0" borderId="27" xfId="0" applyBorder="1" applyAlignment="1">
      <alignment horizontal="left" vertical="center"/>
    </xf>
    <xf numFmtId="0" fontId="49" fillId="26" borderId="26" xfId="48" applyFont="1" applyFill="1" applyBorder="1" applyAlignment="1">
      <alignment vertical="center"/>
    </xf>
    <xf numFmtId="0" fontId="49" fillId="26" borderId="27" xfId="48" applyFont="1" applyFill="1" applyBorder="1" applyAlignment="1">
      <alignment vertical="center"/>
    </xf>
    <xf numFmtId="0" fontId="1" fillId="26" borderId="25" xfId="0" applyFont="1" applyFill="1" applyBorder="1" applyAlignment="1">
      <alignment vertical="center"/>
    </xf>
    <xf numFmtId="0" fontId="1" fillId="26" borderId="10" xfId="0" applyFont="1" applyFill="1" applyBorder="1" applyAlignment="1">
      <alignment vertical="center"/>
    </xf>
    <xf numFmtId="0" fontId="1" fillId="26" borderId="22" xfId="0" applyFont="1" applyFill="1" applyBorder="1" applyAlignment="1">
      <alignment vertical="center"/>
    </xf>
    <xf numFmtId="0" fontId="30" fillId="26" borderId="58" xfId="48" applyFont="1" applyFill="1" applyBorder="1" applyAlignment="1">
      <alignment horizontal="center" vertical="center" wrapText="1"/>
    </xf>
    <xf numFmtId="0" fontId="30" fillId="26" borderId="16" xfId="48" applyFont="1" applyFill="1" applyBorder="1" applyAlignment="1">
      <alignment horizontal="center" vertical="center" wrapText="1"/>
    </xf>
    <xf numFmtId="0" fontId="30" fillId="26" borderId="45" xfId="48" applyFont="1" applyFill="1" applyBorder="1" applyAlignment="1">
      <alignment horizontal="center" vertical="center" wrapText="1"/>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33"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30" fillId="26" borderId="0" xfId="48" applyFont="1" applyFill="1" applyBorder="1" applyAlignment="1">
      <alignment horizontal="center"/>
    </xf>
    <xf numFmtId="0" fontId="34" fillId="0" borderId="0" xfId="47" applyFont="1" applyAlignment="1" applyProtection="1">
      <alignment horizontal="left"/>
    </xf>
    <xf numFmtId="0" fontId="1" fillId="0" borderId="0" xfId="0" applyFont="1" applyAlignment="1" applyProtection="1">
      <alignment horizontal="left"/>
    </xf>
    <xf numFmtId="0" fontId="30" fillId="0" borderId="0" xfId="48" applyFont="1" applyBorder="1" applyAlignment="1">
      <alignment horizontal="left" vertical="top" wrapText="1"/>
    </xf>
    <xf numFmtId="0" fontId="29" fillId="0" borderId="0" xfId="48" applyFont="1" applyBorder="1" applyAlignment="1">
      <alignment horizontal="left" vertical="top" wrapText="1"/>
    </xf>
    <xf numFmtId="0" fontId="30" fillId="0" borderId="0" xfId="48" applyFont="1" applyFill="1" applyBorder="1" applyAlignment="1" applyProtection="1">
      <alignment horizontal="center" vertical="center"/>
    </xf>
    <xf numFmtId="0" fontId="37" fillId="25" borderId="35" xfId="48" applyFont="1" applyFill="1" applyBorder="1" applyAlignment="1">
      <alignment horizontal="center" vertical="center"/>
    </xf>
    <xf numFmtId="0" fontId="62" fillId="0" borderId="0" xfId="47" applyFont="1" applyBorder="1" applyAlignment="1">
      <alignment horizontal="left" vertical="top" shrinkToFit="1"/>
    </xf>
    <xf numFmtId="0" fontId="58" fillId="0" borderId="0" xfId="48" applyFont="1" applyBorder="1" applyAlignment="1">
      <alignment horizontal="left" vertical="top" shrinkToFit="1"/>
    </xf>
    <xf numFmtId="0" fontId="41" fillId="0" borderId="11" xfId="0" applyFont="1" applyBorder="1" applyAlignment="1">
      <alignment vertical="center" wrapText="1" shrinkToFit="1"/>
    </xf>
    <xf numFmtId="0" fontId="30" fillId="24" borderId="12" xfId="48" applyFont="1" applyFill="1" applyBorder="1" applyAlignment="1" applyProtection="1">
      <alignment horizontal="left" vertical="center" wrapText="1"/>
      <protection locked="0"/>
    </xf>
    <xf numFmtId="0" fontId="30" fillId="0" borderId="12" xfId="48" applyFont="1" applyBorder="1" applyAlignment="1">
      <alignment horizontal="left" vertical="center" wrapText="1"/>
    </xf>
    <xf numFmtId="49" fontId="30" fillId="25" borderId="12" xfId="48" applyNumberFormat="1" applyFont="1" applyFill="1" applyBorder="1" applyAlignment="1">
      <alignment horizontal="left" vertical="center" wrapText="1"/>
    </xf>
    <xf numFmtId="0" fontId="30" fillId="0" borderId="33" xfId="48" applyFont="1" applyFill="1" applyBorder="1" applyAlignment="1">
      <alignment vertical="center"/>
    </xf>
    <xf numFmtId="0" fontId="29" fillId="0" borderId="0" xfId="0" applyFont="1" applyAlignment="1">
      <alignment vertical="center"/>
    </xf>
    <xf numFmtId="0" fontId="33" fillId="0" borderId="33" xfId="48" applyFont="1" applyFill="1" applyBorder="1" applyAlignment="1">
      <alignment vertical="top"/>
    </xf>
    <xf numFmtId="0" fontId="33" fillId="0" borderId="0" xfId="48" applyFont="1" applyFill="1" applyBorder="1" applyAlignment="1">
      <alignment vertical="top"/>
    </xf>
    <xf numFmtId="0" fontId="33" fillId="0" borderId="0" xfId="0" applyFont="1" applyAlignment="1"/>
    <xf numFmtId="0" fontId="29" fillId="24" borderId="24" xfId="0" applyFont="1" applyFill="1" applyBorder="1" applyAlignment="1">
      <alignment horizontal="left" vertical="center" shrinkToFit="1"/>
    </xf>
    <xf numFmtId="0" fontId="29" fillId="0" borderId="14" xfId="0" applyFont="1" applyBorder="1" applyAlignment="1">
      <alignment horizontal="left" vertical="center" shrinkToFit="1"/>
    </xf>
    <xf numFmtId="0" fontId="31" fillId="0" borderId="0" xfId="48" applyFont="1" applyFill="1" applyAlignment="1">
      <alignment vertical="center" wrapText="1"/>
    </xf>
    <xf numFmtId="0" fontId="31" fillId="0" borderId="0" xfId="48" applyFont="1" applyAlignment="1">
      <alignment vertical="center" wrapText="1"/>
    </xf>
    <xf numFmtId="0" fontId="43" fillId="0" borderId="0" xfId="48" applyFont="1" applyAlignment="1">
      <alignment horizontal="left" vertical="top" wrapText="1"/>
    </xf>
    <xf numFmtId="0" fontId="41" fillId="0" borderId="0" xfId="0" applyFont="1" applyBorder="1" applyAlignment="1">
      <alignment vertical="center" wrapText="1"/>
    </xf>
    <xf numFmtId="0" fontId="41" fillId="0" borderId="0" xfId="0" applyFont="1" applyAlignment="1">
      <alignment vertical="center" wrapText="1"/>
    </xf>
    <xf numFmtId="0" fontId="30" fillId="24" borderId="0" xfId="48" applyFont="1" applyFill="1" applyBorder="1" applyAlignment="1" applyProtection="1">
      <alignment horizontal="left" vertical="center" wrapText="1"/>
      <protection locked="0"/>
    </xf>
    <xf numFmtId="0" fontId="30" fillId="0" borderId="0" xfId="48" applyFont="1" applyAlignment="1">
      <alignment horizontal="left" vertical="center" wrapText="1"/>
    </xf>
    <xf numFmtId="0" fontId="41" fillId="0" borderId="0" xfId="0" applyFont="1" applyBorder="1" applyAlignment="1" applyProtection="1">
      <alignment vertical="center" wrapText="1"/>
    </xf>
    <xf numFmtId="0" fontId="1" fillId="0" borderId="0" xfId="0" applyFont="1" applyAlignment="1" applyProtection="1"/>
    <xf numFmtId="0" fontId="30" fillId="0" borderId="0" xfId="48" applyFont="1" applyFill="1" applyBorder="1" applyAlignment="1">
      <alignment vertical="center"/>
    </xf>
    <xf numFmtId="0" fontId="1" fillId="26" borderId="12" xfId="0" applyFont="1" applyFill="1" applyBorder="1" applyAlignment="1">
      <alignment horizontal="center" vertical="center"/>
    </xf>
    <xf numFmtId="0" fontId="1" fillId="26" borderId="19" xfId="0" applyFont="1" applyFill="1" applyBorder="1" applyAlignment="1">
      <alignment horizontal="center" vertical="center"/>
    </xf>
    <xf numFmtId="0" fontId="29" fillId="25" borderId="35" xfId="48" applyFont="1" applyFill="1" applyBorder="1" applyAlignment="1">
      <alignment horizontal="center" shrinkToFit="1"/>
    </xf>
    <xf numFmtId="0" fontId="29" fillId="0" borderId="18" xfId="48" applyFont="1" applyFill="1" applyBorder="1" applyAlignment="1">
      <alignment horizontal="center" shrinkToFit="1"/>
    </xf>
    <xf numFmtId="0" fontId="29" fillId="0" borderId="12" xfId="48" applyFont="1" applyFill="1" applyBorder="1" applyAlignment="1">
      <alignment horizontal="center" shrinkToFit="1"/>
    </xf>
    <xf numFmtId="0" fontId="29" fillId="0" borderId="19" xfId="48" applyFont="1" applyFill="1" applyBorder="1" applyAlignment="1">
      <alignment horizontal="center" shrinkToFit="1"/>
    </xf>
    <xf numFmtId="0" fontId="29" fillId="24" borderId="32" xfId="0" applyFont="1" applyFill="1" applyBorder="1" applyAlignment="1">
      <alignment horizontal="left" vertical="center" shrinkToFit="1"/>
    </xf>
    <xf numFmtId="0" fontId="29" fillId="24" borderId="16" xfId="0" applyFont="1" applyFill="1" applyBorder="1" applyAlignment="1">
      <alignment horizontal="left" vertical="center" shrinkToFit="1"/>
    </xf>
    <xf numFmtId="0" fontId="29" fillId="0" borderId="16" xfId="0" applyFont="1" applyBorder="1" applyAlignment="1">
      <alignment horizontal="left" vertical="center" shrinkToFit="1"/>
    </xf>
    <xf numFmtId="0" fontId="30" fillId="0" borderId="24" xfId="0" applyFont="1" applyFill="1" applyBorder="1" applyAlignment="1" applyProtection="1">
      <alignment horizontal="left" vertical="center"/>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24" borderId="14" xfId="0" applyFont="1" applyFill="1" applyBorder="1" applyAlignment="1">
      <alignment horizontal="left" vertical="center" shrinkToFit="1"/>
    </xf>
    <xf numFmtId="0" fontId="36" fillId="0" borderId="0" xfId="48" applyFont="1" applyAlignment="1">
      <alignment vertical="center" wrapText="1"/>
    </xf>
    <xf numFmtId="0" fontId="59" fillId="0" borderId="0" xfId="0" applyFont="1" applyAlignment="1">
      <alignment vertical="center"/>
    </xf>
    <xf numFmtId="0" fontId="41" fillId="0" borderId="12" xfId="0" applyFont="1" applyBorder="1" applyAlignment="1">
      <alignment vertical="center" wrapText="1"/>
    </xf>
    <xf numFmtId="164" fontId="41" fillId="0" borderId="12" xfId="49" applyFont="1" applyBorder="1" applyAlignment="1" applyProtection="1">
      <alignment vertical="center" wrapText="1"/>
    </xf>
    <xf numFmtId="0" fontId="28" fillId="27" borderId="48" xfId="0" applyFont="1" applyFill="1" applyBorder="1" applyAlignment="1">
      <alignment vertical="center"/>
    </xf>
    <xf numFmtId="0" fontId="29" fillId="0" borderId="49" xfId="0" applyFont="1" applyBorder="1" applyAlignment="1">
      <alignment vertical="center"/>
    </xf>
    <xf numFmtId="0" fontId="29" fillId="0" borderId="50" xfId="0" applyFont="1" applyBorder="1" applyAlignment="1">
      <alignment vertical="center"/>
    </xf>
    <xf numFmtId="0" fontId="30" fillId="0" borderId="32" xfId="0" applyFont="1" applyBorder="1" applyAlignment="1" applyProtection="1">
      <alignment vertical="center"/>
    </xf>
    <xf numFmtId="0" fontId="30" fillId="0" borderId="16" xfId="0" applyFont="1" applyBorder="1" applyAlignment="1">
      <alignment vertical="center"/>
    </xf>
    <xf numFmtId="0" fontId="30" fillId="0" borderId="17" xfId="0" applyFont="1" applyBorder="1" applyAlignment="1">
      <alignment vertical="center"/>
    </xf>
    <xf numFmtId="0" fontId="30" fillId="24" borderId="24" xfId="0" applyFont="1" applyFill="1" applyBorder="1" applyAlignment="1" applyProtection="1">
      <alignment horizontal="left" vertical="center" shrinkToFit="1"/>
    </xf>
    <xf numFmtId="0" fontId="32" fillId="0" borderId="0" xfId="48" applyFont="1" applyAlignment="1">
      <alignment horizontal="center" vertical="center"/>
    </xf>
    <xf numFmtId="0" fontId="30" fillId="0" borderId="24" xfId="0" applyFont="1" applyBorder="1" applyAlignment="1" applyProtection="1">
      <alignment vertical="center"/>
    </xf>
    <xf numFmtId="0" fontId="29" fillId="0" borderId="14" xfId="0" applyFont="1" applyBorder="1" applyAlignment="1">
      <alignment vertical="center"/>
    </xf>
    <xf numFmtId="0" fontId="29" fillId="0" borderId="15" xfId="0" applyFont="1" applyBorder="1" applyAlignment="1">
      <alignment vertical="center"/>
    </xf>
    <xf numFmtId="0" fontId="30" fillId="0" borderId="14" xfId="0" applyFont="1" applyBorder="1" applyAlignment="1" applyProtection="1">
      <alignment vertical="center"/>
    </xf>
    <xf numFmtId="0" fontId="30" fillId="0" borderId="0" xfId="48" applyFont="1" applyFill="1" applyBorder="1" applyAlignment="1">
      <alignment horizontal="center" vertical="center"/>
    </xf>
    <xf numFmtId="0" fontId="52" fillId="0" borderId="0" xfId="48" applyFont="1" applyAlignment="1">
      <alignment horizontal="center" vertical="top"/>
    </xf>
    <xf numFmtId="0" fontId="30" fillId="26" borderId="0" xfId="48" applyFont="1" applyFill="1" applyBorder="1" applyAlignment="1">
      <alignment vertical="center"/>
    </xf>
    <xf numFmtId="0" fontId="30" fillId="25" borderId="13" xfId="48" applyFont="1" applyFill="1" applyBorder="1" applyAlignment="1" applyProtection="1">
      <alignment horizontal="left" vertical="center" shrinkToFit="1"/>
    </xf>
    <xf numFmtId="0" fontId="29" fillId="25" borderId="13" xfId="48" applyFont="1" applyFill="1" applyBorder="1" applyAlignment="1">
      <alignment horizontal="left" vertical="center" shrinkToFit="1"/>
    </xf>
    <xf numFmtId="0" fontId="28" fillId="0" borderId="64" xfId="0" applyFont="1" applyFill="1" applyBorder="1" applyAlignment="1" applyProtection="1">
      <alignment vertical="center" wrapText="1"/>
    </xf>
    <xf numFmtId="0" fontId="1" fillId="0" borderId="0" xfId="0" applyFont="1" applyAlignment="1">
      <alignment vertical="center"/>
    </xf>
    <xf numFmtId="0" fontId="29" fillId="0" borderId="0" xfId="48" applyFont="1" applyAlignment="1">
      <alignment vertical="center"/>
    </xf>
    <xf numFmtId="0" fontId="30" fillId="25" borderId="14" xfId="0" applyFont="1" applyFill="1" applyBorder="1" applyAlignment="1" applyProtection="1">
      <alignment horizontal="left" vertical="center" shrinkToFit="1"/>
    </xf>
    <xf numFmtId="0" fontId="29" fillId="25" borderId="14" xfId="0" applyFont="1" applyFill="1" applyBorder="1" applyAlignment="1">
      <alignment horizontal="left" vertical="center" shrinkToFit="1"/>
    </xf>
    <xf numFmtId="0" fontId="1" fillId="0" borderId="14" xfId="0" applyFont="1" applyBorder="1" applyAlignment="1">
      <alignment horizontal="left" vertical="center" shrinkToFit="1"/>
    </xf>
    <xf numFmtId="0" fontId="29" fillId="25" borderId="24" xfId="0" applyFont="1" applyFill="1" applyBorder="1" applyAlignment="1">
      <alignment horizontal="left" vertical="center" shrinkToFit="1"/>
    </xf>
    <xf numFmtId="0" fontId="1" fillId="0" borderId="15" xfId="0" applyFont="1" applyBorder="1" applyAlignment="1">
      <alignment vertical="center" shrinkToFit="1"/>
    </xf>
    <xf numFmtId="0" fontId="30" fillId="0" borderId="16" xfId="0" applyFont="1" applyBorder="1" applyAlignment="1" applyProtection="1">
      <alignment vertical="center"/>
    </xf>
    <xf numFmtId="0" fontId="30" fillId="0" borderId="17" xfId="0" applyFont="1" applyBorder="1" applyAlignment="1" applyProtection="1">
      <alignment vertical="center"/>
    </xf>
    <xf numFmtId="0" fontId="30" fillId="0" borderId="43" xfId="48" applyFont="1" applyFill="1" applyBorder="1" applyAlignment="1">
      <alignment vertical="center" wrapText="1"/>
    </xf>
    <xf numFmtId="0" fontId="30" fillId="0" borderId="14" xfId="48" applyFont="1" applyFill="1" applyBorder="1" applyAlignment="1">
      <alignment vertical="center" wrapText="1"/>
    </xf>
    <xf numFmtId="0" fontId="30" fillId="0" borderId="44" xfId="48" applyFont="1" applyFill="1" applyBorder="1" applyAlignment="1">
      <alignment vertical="center" wrapText="1"/>
    </xf>
    <xf numFmtId="0" fontId="49" fillId="0" borderId="18" xfId="48" applyFont="1" applyFill="1" applyBorder="1" applyAlignment="1">
      <alignment horizontal="center" vertical="center"/>
    </xf>
    <xf numFmtId="0" fontId="49" fillId="0" borderId="12" xfId="48" applyFont="1" applyFill="1" applyBorder="1" applyAlignment="1">
      <alignment horizontal="center" vertical="center"/>
    </xf>
    <xf numFmtId="0" fontId="49" fillId="0" borderId="19" xfId="48" applyFont="1" applyFill="1" applyBorder="1" applyAlignment="1">
      <alignment horizontal="center" vertical="center"/>
    </xf>
    <xf numFmtId="0" fontId="30" fillId="0" borderId="29" xfId="48" applyFont="1" applyFill="1" applyBorder="1" applyAlignment="1">
      <alignment vertical="center" wrapText="1"/>
    </xf>
    <xf numFmtId="0" fontId="30" fillId="0" borderId="34" xfId="48" applyFont="1" applyFill="1" applyBorder="1" applyAlignment="1">
      <alignment vertical="center" wrapText="1"/>
    </xf>
    <xf numFmtId="0" fontId="30" fillId="0" borderId="30" xfId="48" applyFont="1" applyFill="1" applyBorder="1" applyAlignment="1">
      <alignment vertical="center" wrapText="1"/>
    </xf>
    <xf numFmtId="0" fontId="30" fillId="26" borderId="0" xfId="48" applyFont="1" applyFill="1" applyBorder="1" applyAlignment="1">
      <alignment horizontal="left" vertical="top" wrapText="1"/>
    </xf>
    <xf numFmtId="0" fontId="3" fillId="26" borderId="0" xfId="0" applyFont="1" applyFill="1" applyAlignment="1"/>
    <xf numFmtId="0" fontId="33" fillId="26" borderId="18" xfId="48" applyFont="1" applyFill="1" applyBorder="1" applyAlignment="1">
      <alignment horizontal="justify" vertical="center"/>
    </xf>
    <xf numFmtId="0" fontId="33" fillId="26" borderId="12" xfId="48" applyFont="1" applyFill="1" applyBorder="1" applyAlignment="1">
      <alignment horizontal="justify" vertical="center"/>
    </xf>
    <xf numFmtId="0" fontId="33" fillId="26" borderId="19" xfId="48" applyFont="1" applyFill="1" applyBorder="1" applyAlignment="1">
      <alignment horizontal="justify" vertical="center"/>
    </xf>
    <xf numFmtId="14" fontId="30" fillId="26" borderId="18" xfId="48" quotePrefix="1" applyNumberFormat="1" applyFont="1" applyFill="1" applyBorder="1" applyAlignment="1">
      <alignment horizontal="center" vertical="center"/>
    </xf>
    <xf numFmtId="14" fontId="30" fillId="26" borderId="12" xfId="48" quotePrefix="1" applyNumberFormat="1" applyFont="1" applyFill="1" applyBorder="1" applyAlignment="1">
      <alignment horizontal="center" vertical="center"/>
    </xf>
    <xf numFmtId="14" fontId="30" fillId="26" borderId="19" xfId="48" quotePrefix="1" applyNumberFormat="1" applyFont="1" applyFill="1" applyBorder="1" applyAlignment="1">
      <alignment horizontal="center" vertical="center"/>
    </xf>
    <xf numFmtId="0" fontId="30" fillId="0" borderId="20" xfId="48" applyFont="1" applyFill="1" applyBorder="1" applyAlignment="1">
      <alignment horizontal="center" vertical="center" wrapText="1"/>
    </xf>
    <xf numFmtId="0" fontId="30" fillId="0" borderId="23" xfId="48" applyFont="1" applyFill="1" applyBorder="1" applyAlignment="1">
      <alignment horizontal="center" vertical="center" wrapText="1"/>
    </xf>
    <xf numFmtId="0" fontId="30" fillId="0" borderId="21" xfId="48" applyFont="1" applyFill="1" applyBorder="1" applyAlignment="1">
      <alignment horizontal="center" vertical="center" wrapText="1"/>
    </xf>
    <xf numFmtId="0" fontId="30" fillId="0" borderId="18" xfId="48" applyFont="1" applyFill="1" applyBorder="1" applyAlignment="1">
      <alignment vertical="center" wrapText="1"/>
    </xf>
    <xf numFmtId="0" fontId="30" fillId="0" borderId="12" xfId="48" applyFont="1" applyFill="1" applyBorder="1" applyAlignment="1">
      <alignment vertical="center" wrapText="1"/>
    </xf>
    <xf numFmtId="0" fontId="30" fillId="0" borderId="19" xfId="48" applyFont="1" applyFill="1" applyBorder="1" applyAlignment="1">
      <alignment vertical="center" wrapText="1"/>
    </xf>
    <xf numFmtId="0" fontId="30" fillId="0" borderId="31" xfId="48" applyFont="1" applyFill="1" applyBorder="1" applyAlignment="1">
      <alignment horizontal="left" vertical="center" wrapText="1"/>
    </xf>
    <xf numFmtId="0" fontId="1" fillId="0" borderId="11" xfId="0" applyFont="1" applyBorder="1" applyAlignment="1">
      <alignment horizontal="left" vertical="center" wrapText="1"/>
    </xf>
    <xf numFmtId="0" fontId="1" fillId="0" borderId="69" xfId="0" applyFont="1" applyBorder="1" applyAlignment="1">
      <alignment horizontal="left" vertical="center" wrapText="1"/>
    </xf>
    <xf numFmtId="0" fontId="1" fillId="0" borderId="33" xfId="0" applyFont="1" applyBorder="1" applyAlignment="1">
      <alignment horizontal="left" vertical="center" wrapText="1"/>
    </xf>
    <xf numFmtId="0" fontId="1" fillId="0" borderId="0" xfId="0" applyFont="1" applyBorder="1" applyAlignment="1">
      <alignment horizontal="left" vertical="center" wrapText="1"/>
    </xf>
    <xf numFmtId="0" fontId="1" fillId="0" borderId="46" xfId="0" applyFont="1" applyBorder="1" applyAlignment="1">
      <alignment horizontal="left" vertical="center" wrapText="1"/>
    </xf>
    <xf numFmtId="0" fontId="1" fillId="0" borderId="25" xfId="0" applyFont="1" applyBorder="1" applyAlignment="1">
      <alignment horizontal="left" vertical="center" wrapText="1"/>
    </xf>
    <xf numFmtId="0" fontId="1" fillId="0" borderId="10" xfId="0" applyFont="1" applyBorder="1" applyAlignment="1">
      <alignment horizontal="left" vertical="center" wrapText="1"/>
    </xf>
    <xf numFmtId="0" fontId="1" fillId="0" borderId="47" xfId="0" applyFont="1" applyBorder="1" applyAlignment="1">
      <alignment horizontal="left" vertical="center" wrapText="1"/>
    </xf>
    <xf numFmtId="0" fontId="28" fillId="0" borderId="11"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0" xfId="0" applyFont="1" applyAlignment="1">
      <alignment horizontal="center" vertical="center" wrapText="1"/>
    </xf>
    <xf numFmtId="0" fontId="28" fillId="0" borderId="27"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28" xfId="0" applyFont="1" applyBorder="1" applyAlignment="1">
      <alignment horizontal="center" vertical="center" wrapText="1"/>
    </xf>
    <xf numFmtId="0" fontId="30" fillId="0" borderId="31" xfId="48" applyFont="1" applyFill="1" applyBorder="1" applyAlignment="1">
      <alignment horizontal="center" vertical="center" wrapText="1"/>
    </xf>
    <xf numFmtId="0" fontId="30" fillId="0" borderId="11" xfId="48" applyFont="1" applyFill="1" applyBorder="1" applyAlignment="1">
      <alignment horizontal="center" vertical="center" wrapText="1"/>
    </xf>
    <xf numFmtId="0" fontId="30" fillId="0" borderId="26" xfId="48" applyFont="1" applyFill="1" applyBorder="1" applyAlignment="1">
      <alignment horizontal="center" vertical="center" wrapText="1"/>
    </xf>
    <xf numFmtId="0" fontId="30" fillId="0" borderId="33" xfId="48" applyFont="1" applyFill="1" applyBorder="1" applyAlignment="1">
      <alignment horizontal="center" vertical="center" wrapText="1"/>
    </xf>
    <xf numFmtId="0" fontId="30" fillId="0" borderId="0" xfId="48" applyFont="1" applyFill="1" applyBorder="1" applyAlignment="1">
      <alignment horizontal="center" vertical="center" wrapText="1"/>
    </xf>
    <xf numFmtId="0" fontId="30" fillId="0" borderId="27" xfId="48" applyFont="1" applyFill="1" applyBorder="1" applyAlignment="1">
      <alignment horizontal="center" vertical="center" wrapText="1"/>
    </xf>
    <xf numFmtId="0" fontId="49" fillId="0" borderId="54" xfId="48" applyFont="1" applyFill="1" applyBorder="1" applyAlignment="1">
      <alignment horizontal="center" vertical="center"/>
    </xf>
    <xf numFmtId="0" fontId="49" fillId="0" borderId="55" xfId="48" applyFont="1" applyFill="1" applyBorder="1" applyAlignment="1">
      <alignment horizontal="center" vertical="center"/>
    </xf>
    <xf numFmtId="0" fontId="49" fillId="0" borderId="56" xfId="48" applyFont="1" applyFill="1" applyBorder="1" applyAlignment="1">
      <alignment horizontal="center" vertical="center"/>
    </xf>
    <xf numFmtId="0" fontId="30" fillId="0" borderId="51" xfId="48" applyFont="1" applyFill="1" applyBorder="1" applyAlignment="1">
      <alignment vertical="center" wrapText="1"/>
    </xf>
    <xf numFmtId="0" fontId="30" fillId="0" borderId="52" xfId="48" applyFont="1" applyFill="1" applyBorder="1" applyAlignment="1">
      <alignment vertical="center" wrapText="1"/>
    </xf>
    <xf numFmtId="0" fontId="30" fillId="0" borderId="53" xfId="48" applyFont="1" applyFill="1" applyBorder="1" applyAlignment="1">
      <alignment vertical="center" wrapText="1"/>
    </xf>
    <xf numFmtId="0" fontId="28" fillId="0" borderId="16"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30" fillId="0" borderId="58" xfId="48" applyFont="1" applyBorder="1" applyAlignment="1">
      <alignment horizontal="center" vertical="center" wrapText="1"/>
    </xf>
    <xf numFmtId="0" fontId="1" fillId="0" borderId="16"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0" xfId="0" applyFont="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30" fillId="0" borderId="0" xfId="48" applyFont="1" applyFill="1" applyAlignment="1">
      <alignment vertical="center" wrapText="1"/>
    </xf>
    <xf numFmtId="0" fontId="29" fillId="0" borderId="0" xfId="48" applyFont="1" applyAlignment="1">
      <alignment vertical="center" wrapText="1"/>
    </xf>
    <xf numFmtId="0" fontId="36" fillId="0" borderId="0" xfId="0" applyFont="1" applyFill="1" applyBorder="1" applyAlignment="1" applyProtection="1">
      <alignment vertical="top" wrapText="1"/>
    </xf>
    <xf numFmtId="0" fontId="1" fillId="0" borderId="0" xfId="0" applyFont="1" applyAlignment="1">
      <alignment vertical="top" wrapText="1"/>
    </xf>
    <xf numFmtId="0" fontId="44" fillId="0" borderId="0" xfId="47" applyFont="1" applyAlignment="1">
      <alignment horizontal="left"/>
    </xf>
    <xf numFmtId="0" fontId="29" fillId="0" borderId="0" xfId="0" applyFont="1" applyAlignment="1">
      <alignment horizontal="left"/>
    </xf>
    <xf numFmtId="0" fontId="34" fillId="0" borderId="0" xfId="47" applyFont="1" applyBorder="1" applyAlignment="1">
      <alignment horizontal="left" vertical="top" shrinkToFit="1"/>
    </xf>
    <xf numFmtId="0" fontId="29" fillId="0" borderId="0" xfId="48" applyFont="1" applyBorder="1" applyAlignment="1">
      <alignment horizontal="left" vertical="top" shrinkToFit="1"/>
    </xf>
    <xf numFmtId="0" fontId="30" fillId="0" borderId="33" xfId="48" applyFont="1" applyFill="1" applyBorder="1" applyAlignment="1">
      <alignment vertical="top"/>
    </xf>
    <xf numFmtId="0" fontId="30" fillId="0" borderId="0" xfId="48" applyFont="1" applyFill="1" applyBorder="1" applyAlignment="1">
      <alignment vertical="top"/>
    </xf>
    <xf numFmtId="0" fontId="29" fillId="0" borderId="0" xfId="0" applyFont="1" applyAlignment="1"/>
    <xf numFmtId="0" fontId="49" fillId="0" borderId="31" xfId="48" applyFont="1" applyFill="1" applyBorder="1" applyAlignment="1">
      <alignment horizontal="center" vertical="center"/>
    </xf>
    <xf numFmtId="0" fontId="49" fillId="0" borderId="11" xfId="48" applyFont="1" applyFill="1" applyBorder="1" applyAlignment="1">
      <alignment horizontal="center" vertical="center"/>
    </xf>
    <xf numFmtId="0" fontId="49" fillId="0" borderId="26" xfId="48" applyFont="1" applyBorder="1" applyAlignment="1">
      <alignment vertical="center"/>
    </xf>
    <xf numFmtId="0" fontId="49" fillId="0" borderId="33" xfId="48" applyFont="1" applyFill="1" applyBorder="1" applyAlignment="1">
      <alignment horizontal="center" vertical="center"/>
    </xf>
    <xf numFmtId="0" fontId="49" fillId="0" borderId="0" xfId="48" applyFont="1" applyFill="1" applyBorder="1" applyAlignment="1">
      <alignment horizontal="center" vertical="center"/>
    </xf>
    <xf numFmtId="0" fontId="49" fillId="0" borderId="27" xfId="48" applyFont="1" applyBorder="1" applyAlignment="1">
      <alignment vertical="center"/>
    </xf>
    <xf numFmtId="0" fontId="1" fillId="0" borderId="25" xfId="0" applyFont="1" applyBorder="1" applyAlignment="1">
      <alignment vertical="center"/>
    </xf>
    <xf numFmtId="0" fontId="1" fillId="0" borderId="10" xfId="0" applyFont="1" applyBorder="1" applyAlignment="1">
      <alignment vertical="center"/>
    </xf>
    <xf numFmtId="0" fontId="1" fillId="0" borderId="22" xfId="0" applyFont="1" applyBorder="1" applyAlignment="1">
      <alignment vertical="center"/>
    </xf>
    <xf numFmtId="0" fontId="30" fillId="0" borderId="51" xfId="48" applyFont="1" applyFill="1" applyBorder="1" applyAlignment="1">
      <alignment horizontal="center" vertical="center" wrapText="1"/>
    </xf>
    <xf numFmtId="0" fontId="30" fillId="0" borderId="52" xfId="48" applyFont="1" applyFill="1" applyBorder="1" applyAlignment="1">
      <alignment horizontal="center" vertical="center" wrapText="1"/>
    </xf>
    <xf numFmtId="0" fontId="30" fillId="0" borderId="53" xfId="48" applyFont="1" applyFill="1" applyBorder="1" applyAlignment="1">
      <alignment horizontal="center" vertical="center" wrapText="1"/>
    </xf>
    <xf numFmtId="0" fontId="30" fillId="0" borderId="43" xfId="48" applyFont="1" applyFill="1" applyBorder="1" applyAlignment="1">
      <alignment horizontal="center" vertical="center" wrapText="1"/>
    </xf>
    <xf numFmtId="0" fontId="30" fillId="0" borderId="14" xfId="48" applyFont="1" applyFill="1" applyBorder="1" applyAlignment="1">
      <alignment horizontal="center" vertical="center" wrapText="1"/>
    </xf>
    <xf numFmtId="0" fontId="30" fillId="0" borderId="44" xfId="48" applyFont="1" applyFill="1" applyBorder="1" applyAlignment="1">
      <alignment horizontal="center" vertical="center" wrapText="1"/>
    </xf>
    <xf numFmtId="0" fontId="30" fillId="0" borderId="35" xfId="48" applyFont="1" applyFill="1" applyBorder="1" applyAlignment="1">
      <alignment horizontal="center" vertical="center" wrapText="1"/>
    </xf>
    <xf numFmtId="0" fontId="30" fillId="0" borderId="35" xfId="48" applyFont="1" applyBorder="1" applyAlignment="1">
      <alignment vertical="center" wrapText="1"/>
    </xf>
    <xf numFmtId="0" fontId="30" fillId="0" borderId="35" xfId="48" applyFont="1" applyFill="1" applyBorder="1" applyAlignment="1">
      <alignment horizontal="center" vertical="center"/>
    </xf>
    <xf numFmtId="0" fontId="30" fillId="0" borderId="35" xfId="48" applyFont="1" applyBorder="1" applyAlignment="1">
      <alignment vertical="center"/>
    </xf>
    <xf numFmtId="0" fontId="30" fillId="0" borderId="58" xfId="48" applyFont="1" applyFill="1" applyBorder="1" applyAlignment="1">
      <alignment horizontal="center" vertical="center" wrapText="1"/>
    </xf>
    <xf numFmtId="0" fontId="30" fillId="0" borderId="16" xfId="48" applyFont="1" applyFill="1" applyBorder="1" applyAlignment="1">
      <alignment horizontal="center" vertical="center" wrapText="1"/>
    </xf>
    <xf numFmtId="0" fontId="30" fillId="0" borderId="45" xfId="48" applyFont="1" applyFill="1" applyBorder="1" applyAlignment="1">
      <alignment horizontal="center" vertical="center" wrapText="1"/>
    </xf>
    <xf numFmtId="0" fontId="30" fillId="0" borderId="29" xfId="48" applyFont="1" applyFill="1" applyBorder="1" applyAlignment="1">
      <alignment horizontal="center" vertical="center" wrapText="1"/>
    </xf>
    <xf numFmtId="0" fontId="30" fillId="0" borderId="34" xfId="48" applyFont="1" applyFill="1" applyBorder="1" applyAlignment="1">
      <alignment horizontal="center" vertical="center" wrapText="1"/>
    </xf>
    <xf numFmtId="0" fontId="30" fillId="0" borderId="30" xfId="48" applyFont="1" applyFill="1" applyBorder="1" applyAlignment="1">
      <alignment horizontal="center" vertical="center" wrapText="1"/>
    </xf>
    <xf numFmtId="0" fontId="30" fillId="0" borderId="20" xfId="48" applyFont="1" applyFill="1" applyBorder="1" applyAlignment="1">
      <alignment horizontal="center" vertical="center"/>
    </xf>
    <xf numFmtId="0" fontId="30" fillId="0" borderId="23" xfId="48" applyFont="1" applyFill="1" applyBorder="1" applyAlignment="1">
      <alignment horizontal="center" vertical="center"/>
    </xf>
    <xf numFmtId="0" fontId="30" fillId="0" borderId="21" xfId="48" applyFont="1" applyFill="1" applyBorder="1" applyAlignment="1">
      <alignment horizontal="center" vertical="center"/>
    </xf>
    <xf numFmtId="0" fontId="30" fillId="0" borderId="18" xfId="48" applyFont="1" applyFill="1" applyBorder="1" applyAlignment="1">
      <alignment horizontal="center" vertical="center" wrapText="1"/>
    </xf>
    <xf numFmtId="0" fontId="30" fillId="0" borderId="12" xfId="48" applyFont="1" applyFill="1" applyBorder="1" applyAlignment="1">
      <alignment horizontal="center" vertical="center" wrapText="1"/>
    </xf>
    <xf numFmtId="0" fontId="30" fillId="0" borderId="19" xfId="48" applyFont="1" applyFill="1" applyBorder="1" applyAlignment="1">
      <alignment horizontal="center" vertical="center" wrapText="1"/>
    </xf>
    <xf numFmtId="0" fontId="1" fillId="0" borderId="21" xfId="0" applyFont="1" applyBorder="1" applyAlignment="1">
      <alignment horizontal="center" vertical="center"/>
    </xf>
    <xf numFmtId="0" fontId="30" fillId="0" borderId="35" xfId="48" applyFont="1" applyFill="1" applyBorder="1" applyAlignment="1">
      <alignment vertical="center" wrapText="1"/>
    </xf>
    <xf numFmtId="0" fontId="1" fillId="0" borderId="11" xfId="0" applyFont="1" applyBorder="1" applyAlignment="1">
      <alignment vertical="center"/>
    </xf>
    <xf numFmtId="0" fontId="1" fillId="0" borderId="26" xfId="0" applyFont="1" applyBorder="1" applyAlignment="1">
      <alignment vertical="center"/>
    </xf>
    <xf numFmtId="0" fontId="1" fillId="0" borderId="33" xfId="0" applyFont="1" applyBorder="1" applyAlignment="1">
      <alignment vertical="center"/>
    </xf>
    <xf numFmtId="0" fontId="1" fillId="0" borderId="27" xfId="0" applyFont="1" applyBorder="1" applyAlignment="1">
      <alignment vertical="center"/>
    </xf>
    <xf numFmtId="0" fontId="1" fillId="0" borderId="23" xfId="0" applyFont="1" applyBorder="1" applyAlignment="1">
      <alignment horizontal="center" vertical="center"/>
    </xf>
    <xf numFmtId="0" fontId="49" fillId="0" borderId="26" xfId="48" applyFont="1" applyFill="1" applyBorder="1" applyAlignment="1">
      <alignment horizontal="center" vertical="center"/>
    </xf>
    <xf numFmtId="0" fontId="1" fillId="0" borderId="33" xfId="0" applyFont="1" applyBorder="1" applyAlignment="1">
      <alignment horizontal="center" vertical="center"/>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0" xfId="0" applyFont="1" applyBorder="1" applyAlignment="1">
      <alignment horizontal="center" vertical="center"/>
    </xf>
    <xf numFmtId="0" fontId="1" fillId="0" borderId="25" xfId="0" applyFont="1" applyBorder="1" applyAlignment="1">
      <alignment horizontal="center" vertical="center"/>
    </xf>
    <xf numFmtId="0" fontId="1" fillId="0" borderId="10" xfId="0" applyFont="1" applyBorder="1" applyAlignment="1">
      <alignment horizontal="center" vertical="center"/>
    </xf>
    <xf numFmtId="0" fontId="1" fillId="0" borderId="22" xfId="0" applyFont="1" applyBorder="1" applyAlignment="1">
      <alignment horizontal="center" vertical="center"/>
    </xf>
    <xf numFmtId="3" fontId="30" fillId="0" borderId="29" xfId="48" applyNumberFormat="1" applyFont="1" applyFill="1" applyBorder="1" applyAlignment="1">
      <alignment horizontal="center" vertical="center" wrapText="1"/>
    </xf>
    <xf numFmtId="3" fontId="30" fillId="0" borderId="34" xfId="48" applyNumberFormat="1" applyFont="1" applyFill="1" applyBorder="1" applyAlignment="1">
      <alignment horizontal="center" vertical="center" wrapText="1"/>
    </xf>
    <xf numFmtId="3" fontId="30" fillId="0" borderId="30" xfId="48" applyNumberFormat="1" applyFont="1" applyFill="1" applyBorder="1" applyAlignment="1">
      <alignment horizontal="center" vertical="center" wrapText="1"/>
    </xf>
    <xf numFmtId="0" fontId="49" fillId="0" borderId="27" xfId="48" applyFont="1" applyFill="1" applyBorder="1" applyAlignment="1">
      <alignment horizontal="center" vertical="center"/>
    </xf>
    <xf numFmtId="0" fontId="49" fillId="0" borderId="25" xfId="48" applyFont="1" applyFill="1" applyBorder="1" applyAlignment="1">
      <alignment horizontal="center" vertical="center"/>
    </xf>
    <xf numFmtId="0" fontId="49" fillId="0" borderId="10" xfId="48" applyFont="1" applyFill="1" applyBorder="1" applyAlignment="1">
      <alignment horizontal="center" vertical="center"/>
    </xf>
    <xf numFmtId="0" fontId="49" fillId="0" borderId="22" xfId="48" applyFont="1" applyFill="1" applyBorder="1" applyAlignment="1">
      <alignment horizontal="center" vertical="center"/>
    </xf>
    <xf numFmtId="3" fontId="30" fillId="0" borderId="18" xfId="48" applyNumberFormat="1" applyFont="1" applyFill="1" applyBorder="1" applyAlignment="1">
      <alignment horizontal="center" vertical="center" wrapText="1"/>
    </xf>
    <xf numFmtId="3" fontId="30" fillId="0" borderId="12" xfId="48" applyNumberFormat="1" applyFont="1" applyFill="1" applyBorder="1" applyAlignment="1">
      <alignment horizontal="center" vertical="center" wrapText="1"/>
    </xf>
    <xf numFmtId="3" fontId="30" fillId="0" borderId="19" xfId="48" applyNumberFormat="1" applyFont="1" applyFill="1" applyBorder="1" applyAlignment="1">
      <alignment horizontal="center" vertical="center" wrapText="1"/>
    </xf>
    <xf numFmtId="0" fontId="30" fillId="0" borderId="20" xfId="48" quotePrefix="1" applyNumberFormat="1" applyFont="1" applyFill="1" applyBorder="1" applyAlignment="1">
      <alignment horizontal="center" vertical="center"/>
    </xf>
    <xf numFmtId="0" fontId="1" fillId="0" borderId="21" xfId="0" applyNumberFormat="1" applyFont="1" applyBorder="1" applyAlignment="1">
      <alignment horizontal="center" vertical="center"/>
    </xf>
    <xf numFmtId="0" fontId="30" fillId="0" borderId="11" xfId="48" applyFont="1" applyFill="1" applyBorder="1" applyAlignment="1">
      <alignment horizontal="left" vertical="center" wrapText="1"/>
    </xf>
    <xf numFmtId="0" fontId="30" fillId="0" borderId="26" xfId="48" applyFont="1" applyFill="1" applyBorder="1" applyAlignment="1">
      <alignment horizontal="left" vertical="center" wrapText="1"/>
    </xf>
    <xf numFmtId="0" fontId="1" fillId="0" borderId="22" xfId="0" applyFont="1" applyBorder="1" applyAlignment="1">
      <alignment horizontal="left" vertical="center" wrapText="1"/>
    </xf>
    <xf numFmtId="0" fontId="30" fillId="0" borderId="18" xfId="48" applyFont="1" applyFill="1" applyBorder="1" applyAlignment="1">
      <alignment horizontal="left" vertical="center" wrapText="1"/>
    </xf>
    <xf numFmtId="0" fontId="1" fillId="0" borderId="12" xfId="0" applyFont="1" applyBorder="1" applyAlignment="1">
      <alignment vertical="center"/>
    </xf>
    <xf numFmtId="0" fontId="1" fillId="0" borderId="19" xfId="0" applyFont="1" applyBorder="1" applyAlignment="1">
      <alignment vertical="center"/>
    </xf>
    <xf numFmtId="49" fontId="30" fillId="0" borderId="20" xfId="48" applyNumberFormat="1" applyFont="1" applyFill="1" applyBorder="1" applyAlignment="1">
      <alignment horizontal="center" vertical="center"/>
    </xf>
    <xf numFmtId="49" fontId="30" fillId="0" borderId="23" xfId="48" applyNumberFormat="1" applyFont="1" applyFill="1" applyBorder="1" applyAlignment="1">
      <alignment horizontal="center" vertical="center"/>
    </xf>
    <xf numFmtId="49" fontId="30" fillId="0" borderId="21" xfId="48" applyNumberFormat="1" applyFont="1" applyFill="1" applyBorder="1" applyAlignment="1">
      <alignment horizontal="center" vertical="center"/>
    </xf>
    <xf numFmtId="0" fontId="30" fillId="0" borderId="12" xfId="48" applyFont="1" applyFill="1" applyBorder="1" applyAlignment="1">
      <alignment horizontal="left" vertical="center" wrapText="1"/>
    </xf>
    <xf numFmtId="0" fontId="30" fillId="0" borderId="19" xfId="48" applyFont="1" applyFill="1" applyBorder="1" applyAlignment="1">
      <alignment horizontal="left" vertical="center" wrapText="1"/>
    </xf>
    <xf numFmtId="3" fontId="30" fillId="0" borderId="18" xfId="48" applyNumberFormat="1" applyFont="1" applyFill="1" applyBorder="1" applyAlignment="1">
      <alignment horizontal="center" vertical="center"/>
    </xf>
    <xf numFmtId="3" fontId="30" fillId="0" borderId="12" xfId="48" applyNumberFormat="1" applyFont="1" applyFill="1" applyBorder="1" applyAlignment="1">
      <alignment horizontal="center" vertical="center"/>
    </xf>
    <xf numFmtId="3" fontId="30" fillId="0" borderId="19" xfId="48" applyNumberFormat="1" applyFont="1" applyFill="1" applyBorder="1" applyAlignment="1">
      <alignment horizontal="center" vertical="center"/>
    </xf>
    <xf numFmtId="3" fontId="49" fillId="0" borderId="54" xfId="48" applyNumberFormat="1" applyFont="1" applyFill="1" applyBorder="1" applyAlignment="1">
      <alignment horizontal="center" vertical="center"/>
    </xf>
    <xf numFmtId="3" fontId="49" fillId="0" borderId="55" xfId="48" applyNumberFormat="1" applyFont="1" applyFill="1" applyBorder="1" applyAlignment="1">
      <alignment horizontal="center" vertical="center"/>
    </xf>
    <xf numFmtId="3" fontId="49" fillId="0" borderId="56" xfId="48" applyNumberFormat="1" applyFont="1" applyFill="1" applyBorder="1" applyAlignment="1">
      <alignment horizontal="center" vertical="center"/>
    </xf>
    <xf numFmtId="0" fontId="30" fillId="0" borderId="31" xfId="48" applyFont="1" applyFill="1" applyBorder="1" applyAlignment="1">
      <alignment vertical="center" wrapText="1"/>
    </xf>
    <xf numFmtId="0" fontId="30" fillId="0" borderId="11" xfId="48" applyFont="1" applyFill="1" applyBorder="1" applyAlignment="1">
      <alignment vertical="center" wrapText="1"/>
    </xf>
    <xf numFmtId="0" fontId="30" fillId="0" borderId="26" xfId="48" applyFont="1" applyFill="1" applyBorder="1" applyAlignment="1">
      <alignment vertical="center" wrapText="1"/>
    </xf>
    <xf numFmtId="0" fontId="30" fillId="0" borderId="33" xfId="48" applyFont="1" applyFill="1" applyBorder="1" applyAlignment="1">
      <alignment vertical="center" wrapText="1"/>
    </xf>
    <xf numFmtId="0" fontId="30" fillId="0" borderId="0" xfId="48" applyFont="1" applyFill="1" applyBorder="1" applyAlignment="1">
      <alignment vertical="center" wrapText="1"/>
    </xf>
    <xf numFmtId="0" fontId="30" fillId="0" borderId="27" xfId="48" applyFont="1" applyFill="1" applyBorder="1" applyAlignment="1">
      <alignment vertical="center" wrapText="1"/>
    </xf>
    <xf numFmtId="0" fontId="30" fillId="0" borderId="25" xfId="48" applyFont="1" applyFill="1" applyBorder="1" applyAlignment="1">
      <alignment vertical="center" wrapText="1"/>
    </xf>
    <xf numFmtId="0" fontId="30" fillId="0" borderId="10" xfId="48" applyFont="1" applyFill="1" applyBorder="1" applyAlignment="1">
      <alignment vertical="center" wrapText="1"/>
    </xf>
    <xf numFmtId="0" fontId="30" fillId="0" borderId="22" xfId="48" applyFont="1" applyFill="1" applyBorder="1" applyAlignment="1">
      <alignment vertical="center" wrapText="1"/>
    </xf>
    <xf numFmtId="0" fontId="30" fillId="0" borderId="25" xfId="48" applyFont="1" applyFill="1" applyBorder="1" applyAlignment="1">
      <alignment horizontal="center" vertical="center" wrapText="1"/>
    </xf>
    <xf numFmtId="0" fontId="30" fillId="0" borderId="10" xfId="48" applyFont="1" applyFill="1" applyBorder="1" applyAlignment="1">
      <alignment horizontal="center" vertical="center" wrapText="1"/>
    </xf>
    <xf numFmtId="0" fontId="30" fillId="0" borderId="22" xfId="48" applyFont="1" applyFill="1" applyBorder="1" applyAlignment="1">
      <alignment horizontal="center" vertical="center" wrapText="1"/>
    </xf>
    <xf numFmtId="14" fontId="30" fillId="0" borderId="20" xfId="48" quotePrefix="1" applyNumberFormat="1" applyFont="1" applyFill="1" applyBorder="1" applyAlignment="1">
      <alignment horizontal="center" vertical="center"/>
    </xf>
    <xf numFmtId="14" fontId="30" fillId="0" borderId="23" xfId="48" quotePrefix="1" applyNumberFormat="1" applyFont="1" applyFill="1" applyBorder="1" applyAlignment="1">
      <alignment horizontal="center" vertical="center"/>
    </xf>
    <xf numFmtId="14" fontId="30" fillId="0" borderId="21" xfId="48" quotePrefix="1" applyNumberFormat="1" applyFont="1" applyFill="1" applyBorder="1" applyAlignment="1">
      <alignment horizontal="center" vertical="center"/>
    </xf>
    <xf numFmtId="0" fontId="30" fillId="0" borderId="18" xfId="48" applyFont="1" applyFill="1" applyBorder="1" applyAlignment="1">
      <alignment vertical="center"/>
    </xf>
    <xf numFmtId="0" fontId="30" fillId="0" borderId="12" xfId="48" applyFont="1" applyFill="1" applyBorder="1" applyAlignment="1">
      <alignment vertical="center"/>
    </xf>
    <xf numFmtId="0" fontId="30" fillId="0" borderId="19" xfId="48" applyFont="1" applyFill="1" applyBorder="1" applyAlignment="1">
      <alignment vertical="center"/>
    </xf>
    <xf numFmtId="0" fontId="30" fillId="0" borderId="31" xfId="48" applyFont="1" applyFill="1" applyBorder="1" applyAlignment="1">
      <alignment horizontal="left" vertical="center"/>
    </xf>
    <xf numFmtId="0" fontId="30" fillId="0" borderId="11" xfId="48" applyFont="1" applyFill="1" applyBorder="1" applyAlignment="1">
      <alignment horizontal="left" vertical="center"/>
    </xf>
    <xf numFmtId="0" fontId="30" fillId="0" borderId="26" xfId="48" applyFont="1" applyFill="1" applyBorder="1" applyAlignment="1">
      <alignment horizontal="left" vertical="center"/>
    </xf>
    <xf numFmtId="0" fontId="30" fillId="0" borderId="33" xfId="48" applyFont="1" applyFill="1" applyBorder="1" applyAlignment="1">
      <alignment horizontal="left" vertical="center"/>
    </xf>
    <xf numFmtId="0" fontId="30" fillId="0" borderId="0" xfId="48" applyFont="1" applyFill="1" applyBorder="1" applyAlignment="1">
      <alignment horizontal="left" vertical="center"/>
    </xf>
    <xf numFmtId="0" fontId="30" fillId="0" borderId="27" xfId="48" applyFont="1" applyFill="1" applyBorder="1" applyAlignment="1">
      <alignment horizontal="left" vertical="center"/>
    </xf>
    <xf numFmtId="0" fontId="30" fillId="0" borderId="25" xfId="48" applyFont="1" applyFill="1" applyBorder="1" applyAlignment="1">
      <alignment horizontal="left" vertical="center"/>
    </xf>
    <xf numFmtId="0" fontId="30" fillId="0" borderId="10" xfId="48" applyFont="1" applyFill="1" applyBorder="1" applyAlignment="1">
      <alignment horizontal="left" vertical="center"/>
    </xf>
    <xf numFmtId="0" fontId="30" fillId="0" borderId="22" xfId="48" applyFont="1" applyFill="1" applyBorder="1" applyAlignment="1">
      <alignment horizontal="left" vertical="center"/>
    </xf>
    <xf numFmtId="0" fontId="30" fillId="0" borderId="18" xfId="48" applyFont="1" applyFill="1" applyBorder="1" applyAlignment="1">
      <alignment horizontal="justify" vertical="center" wrapText="1"/>
    </xf>
    <xf numFmtId="0" fontId="30" fillId="0" borderId="12" xfId="48" applyFont="1" applyFill="1" applyBorder="1" applyAlignment="1">
      <alignment horizontal="justify" vertical="center" wrapText="1"/>
    </xf>
    <xf numFmtId="0" fontId="30" fillId="0" borderId="19" xfId="48" applyFont="1" applyFill="1" applyBorder="1" applyAlignment="1">
      <alignment horizontal="justify" vertical="center" wrapText="1"/>
    </xf>
    <xf numFmtId="3" fontId="31" fillId="0" borderId="18" xfId="48" applyNumberFormat="1" applyFont="1" applyFill="1" applyBorder="1" applyAlignment="1">
      <alignment horizontal="center" vertical="center" wrapText="1"/>
    </xf>
    <xf numFmtId="3" fontId="31" fillId="0" borderId="12" xfId="48" applyNumberFormat="1" applyFont="1" applyFill="1" applyBorder="1" applyAlignment="1">
      <alignment horizontal="center" vertical="center" wrapText="1"/>
    </xf>
    <xf numFmtId="3" fontId="31" fillId="0" borderId="19" xfId="48" applyNumberFormat="1" applyFont="1" applyFill="1" applyBorder="1" applyAlignment="1">
      <alignment horizontal="center" vertical="center" wrapText="1"/>
    </xf>
    <xf numFmtId="0" fontId="30" fillId="0" borderId="33" xfId="48" applyFont="1" applyFill="1" applyBorder="1" applyAlignment="1">
      <alignment horizontal="left" vertical="center" wrapText="1"/>
    </xf>
    <xf numFmtId="0" fontId="30" fillId="0" borderId="0" xfId="48" applyFont="1" applyFill="1" applyBorder="1" applyAlignment="1">
      <alignment horizontal="left" vertical="center" wrapText="1"/>
    </xf>
    <xf numFmtId="0" fontId="30" fillId="0" borderId="27" xfId="48" applyFont="1" applyFill="1" applyBorder="1" applyAlignment="1">
      <alignment horizontal="left" vertical="center" wrapText="1"/>
    </xf>
    <xf numFmtId="0" fontId="30" fillId="0" borderId="57" xfId="48" applyFont="1" applyFill="1" applyBorder="1" applyAlignment="1">
      <alignment horizontal="left" vertical="center" wrapText="1"/>
    </xf>
    <xf numFmtId="0" fontId="30" fillId="0" borderId="13" xfId="48" applyFont="1" applyFill="1" applyBorder="1" applyAlignment="1">
      <alignment horizontal="left" vertical="center" wrapText="1"/>
    </xf>
    <xf numFmtId="0" fontId="30" fillId="0" borderId="28" xfId="48" applyFont="1" applyFill="1" applyBorder="1" applyAlignment="1">
      <alignment horizontal="left" vertical="center" wrapText="1"/>
    </xf>
    <xf numFmtId="0" fontId="30" fillId="0" borderId="58" xfId="48" applyFont="1" applyFill="1" applyBorder="1" applyAlignment="1">
      <alignment horizontal="left" vertical="center" wrapText="1"/>
    </xf>
    <xf numFmtId="0" fontId="30" fillId="0" borderId="16" xfId="48" applyFont="1" applyFill="1" applyBorder="1" applyAlignment="1">
      <alignment horizontal="left" vertical="center" wrapText="1"/>
    </xf>
    <xf numFmtId="0" fontId="30" fillId="0" borderId="45" xfId="48" applyFont="1" applyFill="1" applyBorder="1" applyAlignment="1">
      <alignment horizontal="left" vertical="center" wrapText="1"/>
    </xf>
    <xf numFmtId="0" fontId="30" fillId="0" borderId="25" xfId="48" applyFont="1" applyFill="1" applyBorder="1" applyAlignment="1">
      <alignment horizontal="left" vertical="center" wrapText="1"/>
    </xf>
    <xf numFmtId="0" fontId="30" fillId="0" borderId="10" xfId="48" applyFont="1" applyFill="1" applyBorder="1" applyAlignment="1">
      <alignment horizontal="left" vertical="center" wrapText="1"/>
    </xf>
    <xf numFmtId="0" fontId="30" fillId="0" borderId="22" xfId="48" applyFont="1" applyFill="1" applyBorder="1" applyAlignment="1">
      <alignment horizontal="left" vertical="center" wrapText="1"/>
    </xf>
    <xf numFmtId="0" fontId="30" fillId="0" borderId="46" xfId="48" applyFont="1" applyFill="1" applyBorder="1" applyAlignment="1">
      <alignment horizontal="center" vertical="center" wrapText="1"/>
    </xf>
    <xf numFmtId="0" fontId="30" fillId="0" borderId="47" xfId="48" applyFont="1" applyFill="1" applyBorder="1" applyAlignment="1">
      <alignment horizontal="center" vertical="center" wrapText="1"/>
    </xf>
    <xf numFmtId="0" fontId="30" fillId="0" borderId="32" xfId="48" applyFont="1" applyBorder="1" applyAlignment="1">
      <alignment vertical="center" wrapText="1"/>
    </xf>
    <xf numFmtId="0" fontId="30" fillId="0" borderId="16" xfId="48" applyFont="1" applyBorder="1" applyAlignment="1">
      <alignment vertical="center" wrapText="1"/>
    </xf>
    <xf numFmtId="0" fontId="30" fillId="0" borderId="45" xfId="48" applyFont="1" applyBorder="1" applyAlignment="1">
      <alignment vertical="center" wrapText="1"/>
    </xf>
    <xf numFmtId="0" fontId="30" fillId="0" borderId="59" xfId="48" applyFont="1" applyBorder="1" applyAlignment="1">
      <alignment vertical="center" wrapText="1"/>
    </xf>
    <xf numFmtId="0" fontId="30" fillId="0" borderId="0" xfId="48" applyFont="1" applyBorder="1" applyAlignment="1">
      <alignment vertical="center" wrapText="1"/>
    </xf>
    <xf numFmtId="0" fontId="30" fillId="0" borderId="27" xfId="48" applyFont="1" applyBorder="1" applyAlignment="1">
      <alignment vertical="center" wrapText="1"/>
    </xf>
    <xf numFmtId="0" fontId="30" fillId="0" borderId="60" xfId="48" applyFont="1" applyBorder="1" applyAlignment="1">
      <alignment vertical="center" wrapText="1"/>
    </xf>
    <xf numFmtId="0" fontId="30" fillId="0" borderId="10" xfId="48" applyFont="1" applyBorder="1" applyAlignment="1">
      <alignment vertical="center" wrapText="1"/>
    </xf>
    <xf numFmtId="0" fontId="30" fillId="0" borderId="22" xfId="48" applyFont="1" applyBorder="1" applyAlignment="1">
      <alignment vertical="center" wrapText="1"/>
    </xf>
    <xf numFmtId="0" fontId="30" fillId="0" borderId="29" xfId="48" applyFont="1" applyFill="1" applyBorder="1" applyAlignment="1">
      <alignment horizontal="justify" vertical="center" wrapText="1"/>
    </xf>
    <xf numFmtId="0" fontId="30" fillId="0" borderId="34" xfId="48" applyFont="1" applyFill="1" applyBorder="1" applyAlignment="1">
      <alignment horizontal="justify" vertical="center" wrapText="1"/>
    </xf>
    <xf numFmtId="0" fontId="30" fillId="0" borderId="30" xfId="48" applyFont="1" applyFill="1" applyBorder="1" applyAlignment="1">
      <alignment horizontal="justify" vertical="center" wrapText="1"/>
    </xf>
    <xf numFmtId="0" fontId="30" fillId="0" borderId="18" xfId="48" applyFont="1" applyFill="1" applyBorder="1" applyAlignment="1">
      <alignment horizontal="left" vertical="center"/>
    </xf>
    <xf numFmtId="0" fontId="30" fillId="0" borderId="12" xfId="48" applyFont="1" applyFill="1" applyBorder="1" applyAlignment="1">
      <alignment horizontal="left" vertical="center"/>
    </xf>
    <xf numFmtId="0" fontId="30" fillId="0" borderId="19" xfId="48" applyFont="1" applyFill="1" applyBorder="1" applyAlignment="1">
      <alignment horizontal="left" vertical="center"/>
    </xf>
    <xf numFmtId="0" fontId="30" fillId="0" borderId="51" xfId="48" applyFont="1" applyFill="1" applyBorder="1" applyAlignment="1">
      <alignment horizontal="justify" vertical="center" wrapText="1"/>
    </xf>
    <xf numFmtId="0" fontId="30" fillId="0" borderId="52" xfId="48" applyFont="1" applyFill="1" applyBorder="1" applyAlignment="1">
      <alignment horizontal="justify" vertical="center" wrapText="1"/>
    </xf>
    <xf numFmtId="0" fontId="30" fillId="0" borderId="53" xfId="48" applyFont="1" applyFill="1" applyBorder="1" applyAlignment="1">
      <alignment horizontal="justify" vertical="center" wrapText="1"/>
    </xf>
    <xf numFmtId="9" fontId="30" fillId="0" borderId="18" xfId="48" applyNumberFormat="1" applyFont="1" applyFill="1" applyBorder="1" applyAlignment="1">
      <alignment horizontal="center" vertical="center" wrapText="1"/>
    </xf>
    <xf numFmtId="0" fontId="30" fillId="0" borderId="25" xfId="48" applyFont="1" applyFill="1" applyBorder="1" applyAlignment="1">
      <alignment vertical="top" wrapText="1"/>
    </xf>
    <xf numFmtId="0" fontId="1" fillId="0" borderId="10" xfId="0" applyFont="1" applyBorder="1" applyAlignment="1">
      <alignment vertical="top" wrapText="1"/>
    </xf>
    <xf numFmtId="0" fontId="1" fillId="0" borderId="22" xfId="0" applyFont="1" applyBorder="1" applyAlignment="1">
      <alignment vertical="top" wrapText="1"/>
    </xf>
    <xf numFmtId="0" fontId="30" fillId="0" borderId="18" xfId="48" applyFont="1" applyFill="1" applyBorder="1" applyAlignment="1">
      <alignment horizontal="center" vertical="center"/>
    </xf>
    <xf numFmtId="0" fontId="30" fillId="0" borderId="12" xfId="48" applyFont="1" applyFill="1" applyBorder="1" applyAlignment="1">
      <alignment horizontal="center" vertical="center"/>
    </xf>
    <xf numFmtId="0" fontId="30" fillId="0" borderId="19" xfId="48" applyFont="1" applyFill="1" applyBorder="1" applyAlignment="1">
      <alignment horizontal="center" vertical="center"/>
    </xf>
    <xf numFmtId="0" fontId="30" fillId="0" borderId="18" xfId="48" applyFont="1" applyFill="1" applyBorder="1" applyAlignment="1">
      <alignment horizontal="justify" vertical="center"/>
    </xf>
    <xf numFmtId="0" fontId="30" fillId="0" borderId="12" xfId="48" applyFont="1" applyFill="1" applyBorder="1" applyAlignment="1">
      <alignment horizontal="justify" vertical="center"/>
    </xf>
    <xf numFmtId="0" fontId="30" fillId="0" borderId="19" xfId="48" applyFont="1" applyFill="1" applyBorder="1" applyAlignment="1">
      <alignment horizontal="justify" vertical="center"/>
    </xf>
    <xf numFmtId="14" fontId="30" fillId="0" borderId="18" xfId="48" quotePrefix="1" applyNumberFormat="1" applyFont="1" applyFill="1" applyBorder="1" applyAlignment="1">
      <alignment horizontal="center" vertical="center"/>
    </xf>
    <xf numFmtId="14" fontId="30" fillId="0" borderId="12" xfId="48" quotePrefix="1" applyNumberFormat="1" applyFont="1" applyFill="1" applyBorder="1" applyAlignment="1">
      <alignment horizontal="center" vertical="center"/>
    </xf>
    <xf numFmtId="14" fontId="30" fillId="0" borderId="19" xfId="48" quotePrefix="1" applyNumberFormat="1" applyFont="1" applyFill="1" applyBorder="1" applyAlignment="1">
      <alignment horizontal="center" vertical="center"/>
    </xf>
    <xf numFmtId="0" fontId="1" fillId="0" borderId="0" xfId="0" applyFont="1" applyAlignment="1">
      <alignment horizontal="left" vertical="center" wrapText="1"/>
    </xf>
    <xf numFmtId="0" fontId="1" fillId="0" borderId="27" xfId="0" applyFont="1" applyBorder="1" applyAlignment="1">
      <alignment horizontal="left" vertical="center" wrapText="1"/>
    </xf>
    <xf numFmtId="0" fontId="1" fillId="0" borderId="11" xfId="0" applyFont="1" applyBorder="1" applyAlignment="1">
      <alignment vertical="center" wrapText="1"/>
    </xf>
    <xf numFmtId="0" fontId="1" fillId="0" borderId="26" xfId="0" applyFont="1" applyBorder="1" applyAlignment="1">
      <alignment vertical="center" wrapText="1"/>
    </xf>
    <xf numFmtId="0" fontId="30" fillId="0" borderId="18" xfId="48" applyFont="1" applyBorder="1" applyAlignment="1">
      <alignment horizontal="justify" vertical="center"/>
    </xf>
    <xf numFmtId="0" fontId="30" fillId="0" borderId="18" xfId="48" applyFont="1" applyBorder="1" applyAlignment="1">
      <alignment horizontal="center" vertical="center"/>
    </xf>
    <xf numFmtId="0" fontId="30" fillId="0" borderId="12" xfId="48" applyFont="1" applyBorder="1" applyAlignment="1">
      <alignment horizontal="center" vertical="center"/>
    </xf>
    <xf numFmtId="0" fontId="30" fillId="0" borderId="19" xfId="48" applyFont="1" applyBorder="1" applyAlignment="1">
      <alignment horizontal="center" vertical="center"/>
    </xf>
    <xf numFmtId="0" fontId="40" fillId="0" borderId="0" xfId="48" applyFont="1" applyBorder="1" applyAlignment="1">
      <alignment horizontal="left" vertical="center" wrapText="1"/>
    </xf>
    <xf numFmtId="0" fontId="1" fillId="0" borderId="12" xfId="0" applyFont="1" applyBorder="1" applyAlignment="1">
      <alignment horizontal="center" vertical="center"/>
    </xf>
    <xf numFmtId="0" fontId="1" fillId="0" borderId="19" xfId="0" applyFont="1" applyBorder="1" applyAlignment="1">
      <alignment horizontal="center" vertical="center"/>
    </xf>
    <xf numFmtId="0" fontId="29" fillId="0" borderId="33" xfId="48" applyFont="1" applyBorder="1" applyAlignment="1">
      <alignment vertical="top" wrapText="1"/>
    </xf>
    <xf numFmtId="0" fontId="1" fillId="0" borderId="0" xfId="0" applyFont="1" applyBorder="1" applyAlignment="1">
      <alignment vertical="top" wrapText="1"/>
    </xf>
    <xf numFmtId="0" fontId="1" fillId="0" borderId="27" xfId="0" applyFont="1" applyBorder="1" applyAlignment="1">
      <alignment vertical="top" wrapText="1"/>
    </xf>
    <xf numFmtId="0" fontId="41" fillId="0" borderId="20" xfId="0" applyFont="1" applyFill="1" applyBorder="1" applyAlignment="1" applyProtection="1">
      <alignment horizontal="center" vertical="center"/>
      <protection locked="0"/>
    </xf>
    <xf numFmtId="0" fontId="0" fillId="0" borderId="21" xfId="0" applyFont="1" applyBorder="1" applyAlignment="1">
      <alignment horizontal="center" vertical="center"/>
    </xf>
    <xf numFmtId="0" fontId="41" fillId="0" borderId="35" xfId="0" applyFont="1" applyBorder="1" applyAlignment="1" applyProtection="1">
      <alignment horizontal="left" vertical="center" wrapText="1"/>
    </xf>
    <xf numFmtId="0" fontId="50" fillId="0" borderId="35" xfId="0" applyFont="1" applyBorder="1" applyAlignment="1">
      <alignment horizontal="left" vertical="center"/>
    </xf>
    <xf numFmtId="3" fontId="41" fillId="0" borderId="35" xfId="0" applyNumberFormat="1" applyFont="1" applyBorder="1" applyAlignment="1" applyProtection="1">
      <alignment horizontal="center" vertical="center" wrapText="1"/>
    </xf>
    <xf numFmtId="0" fontId="41" fillId="0" borderId="35" xfId="0" applyFont="1" applyBorder="1" applyAlignment="1" applyProtection="1">
      <alignment horizontal="center" vertical="center" wrapText="1"/>
    </xf>
    <xf numFmtId="0" fontId="50" fillId="0" borderId="35" xfId="0" applyFont="1" applyBorder="1" applyAlignment="1">
      <alignment horizontal="center" vertical="center"/>
    </xf>
    <xf numFmtId="0" fontId="41" fillId="0" borderId="35" xfId="0" applyFont="1" applyBorder="1" applyAlignment="1" applyProtection="1">
      <alignment vertical="center" wrapText="1"/>
    </xf>
    <xf numFmtId="0" fontId="50" fillId="0" borderId="35" xfId="0" applyFont="1" applyBorder="1" applyAlignment="1">
      <alignment vertical="center"/>
    </xf>
    <xf numFmtId="0" fontId="50" fillId="0" borderId="35" xfId="0" applyFont="1" applyBorder="1" applyAlignment="1">
      <alignment horizontal="center" vertical="center" wrapText="1"/>
    </xf>
    <xf numFmtId="0" fontId="49" fillId="0" borderId="35" xfId="0" applyFont="1" applyFill="1" applyBorder="1" applyAlignment="1" applyProtection="1">
      <alignment horizontal="center" vertical="center"/>
      <protection locked="0"/>
    </xf>
    <xf numFmtId="0" fontId="49" fillId="0" borderId="31" xfId="0" applyFont="1" applyFill="1" applyBorder="1" applyAlignment="1" applyProtection="1">
      <alignment horizontal="center" vertical="center"/>
      <protection locked="0"/>
    </xf>
    <xf numFmtId="0" fontId="49" fillId="0" borderId="26" xfId="0" applyFont="1" applyFill="1" applyBorder="1" applyAlignment="1" applyProtection="1">
      <alignment horizontal="center" vertical="center"/>
      <protection locked="0"/>
    </xf>
    <xf numFmtId="0" fontId="0" fillId="0" borderId="25" xfId="0" applyFont="1" applyBorder="1" applyAlignment="1">
      <alignment horizontal="center" vertical="center"/>
    </xf>
    <xf numFmtId="0" fontId="0" fillId="0" borderId="22" xfId="0" applyFont="1" applyBorder="1" applyAlignment="1">
      <alignment horizontal="center" vertical="center"/>
    </xf>
    <xf numFmtId="0" fontId="41" fillId="0" borderId="35" xfId="0" applyFont="1" applyFill="1" applyBorder="1" applyAlignment="1" applyProtection="1">
      <alignment horizontal="left" vertical="center" wrapText="1"/>
    </xf>
    <xf numFmtId="0" fontId="50" fillId="0" borderId="35" xfId="0" applyFont="1" applyBorder="1" applyAlignment="1">
      <alignment horizontal="left" vertical="center" wrapText="1"/>
    </xf>
    <xf numFmtId="0" fontId="50" fillId="0" borderId="35" xfId="0" applyFont="1" applyBorder="1" applyAlignment="1">
      <alignment vertical="center" wrapText="1"/>
    </xf>
    <xf numFmtId="0" fontId="41" fillId="26" borderId="35" xfId="0" applyFont="1" applyFill="1" applyBorder="1" applyAlignment="1" applyProtection="1">
      <alignment horizontal="left" vertical="center" wrapText="1"/>
    </xf>
    <xf numFmtId="0" fontId="50" fillId="26" borderId="35" xfId="0" applyFont="1" applyFill="1" applyBorder="1" applyAlignment="1">
      <alignment horizontal="left" vertical="center"/>
    </xf>
    <xf numFmtId="0" fontId="50" fillId="26" borderId="35" xfId="0" applyFont="1" applyFill="1" applyBorder="1" applyAlignment="1">
      <alignment vertical="center" wrapText="1"/>
    </xf>
    <xf numFmtId="0" fontId="41" fillId="0" borderId="31" xfId="0" applyFont="1" applyBorder="1" applyAlignment="1" applyProtection="1">
      <alignment vertical="center"/>
    </xf>
    <xf numFmtId="0" fontId="50" fillId="0" borderId="11" xfId="0" applyFont="1" applyBorder="1" applyAlignment="1">
      <alignment vertical="center"/>
    </xf>
    <xf numFmtId="0" fontId="50" fillId="0" borderId="26" xfId="0" applyFont="1" applyBorder="1" applyAlignment="1">
      <alignment vertical="center"/>
    </xf>
    <xf numFmtId="0" fontId="0" fillId="0" borderId="25" xfId="0" applyFont="1" applyBorder="1" applyAlignment="1">
      <alignment vertical="center"/>
    </xf>
    <xf numFmtId="0" fontId="0" fillId="0" borderId="10" xfId="0" applyFont="1" applyBorder="1" applyAlignment="1">
      <alignment vertical="center"/>
    </xf>
    <xf numFmtId="0" fontId="0" fillId="0" borderId="22" xfId="0" applyFont="1" applyBorder="1" applyAlignment="1">
      <alignment vertical="center"/>
    </xf>
    <xf numFmtId="0" fontId="41" fillId="0" borderId="18" xfId="0" applyFont="1" applyFill="1" applyBorder="1" applyAlignment="1" applyProtection="1">
      <alignment horizontal="left" vertical="center" wrapText="1"/>
    </xf>
    <xf numFmtId="0" fontId="50" fillId="0" borderId="12" xfId="0" applyFont="1" applyBorder="1" applyAlignment="1">
      <alignment horizontal="left" vertical="center" wrapText="1"/>
    </xf>
    <xf numFmtId="0" fontId="50" fillId="0" borderId="19" xfId="0" applyFont="1" applyBorder="1" applyAlignment="1">
      <alignment horizontal="left" vertical="center" wrapText="1"/>
    </xf>
    <xf numFmtId="0" fontId="41" fillId="0" borderId="35" xfId="0" applyFont="1" applyFill="1" applyBorder="1" applyAlignment="1" applyProtection="1">
      <alignment horizontal="center" vertical="center"/>
    </xf>
    <xf numFmtId="0" fontId="51" fillId="0" borderId="35" xfId="0" applyFont="1" applyBorder="1" applyAlignment="1">
      <alignment horizontal="center" vertical="center" wrapText="1"/>
    </xf>
    <xf numFmtId="0" fontId="41" fillId="0" borderId="35" xfId="0" applyFont="1" applyBorder="1" applyAlignment="1">
      <alignment horizontal="center" vertical="center" wrapText="1"/>
    </xf>
    <xf numFmtId="0" fontId="41" fillId="0" borderId="18" xfId="0" applyFont="1" applyBorder="1" applyAlignment="1" applyProtection="1">
      <alignment horizontal="center" vertical="center" wrapText="1"/>
    </xf>
    <xf numFmtId="0" fontId="50" fillId="0" borderId="12" xfId="0" applyFont="1" applyBorder="1" applyAlignment="1">
      <alignment horizontal="center" vertical="center" wrapText="1"/>
    </xf>
    <xf numFmtId="0" fontId="0" fillId="0" borderId="19" xfId="0" applyFont="1" applyBorder="1" applyAlignment="1">
      <alignment horizontal="center" vertical="center" wrapText="1"/>
    </xf>
    <xf numFmtId="0" fontId="41" fillId="0" borderId="35" xfId="0" applyFont="1" applyFill="1" applyBorder="1" applyAlignment="1" applyProtection="1">
      <alignment horizontal="left" vertical="center"/>
    </xf>
    <xf numFmtId="0" fontId="28" fillId="27" borderId="48" xfId="0" applyFont="1" applyFill="1" applyBorder="1" applyAlignment="1" applyProtection="1">
      <alignment vertical="center"/>
      <protection locked="0"/>
    </xf>
    <xf numFmtId="0" fontId="29" fillId="0" borderId="49" xfId="0" applyFont="1" applyBorder="1" applyAlignment="1" applyProtection="1">
      <alignment vertical="center"/>
      <protection locked="0"/>
    </xf>
    <xf numFmtId="0" fontId="29" fillId="0" borderId="50" xfId="0" applyFont="1" applyBorder="1" applyAlignment="1" applyProtection="1">
      <alignment vertical="center"/>
      <protection locked="0"/>
    </xf>
    <xf numFmtId="0" fontId="30" fillId="0" borderId="0" xfId="0" applyFont="1" applyBorder="1" applyAlignment="1" applyProtection="1">
      <alignment horizontal="center" vertical="center"/>
    </xf>
    <xf numFmtId="0" fontId="29" fillId="0" borderId="0" xfId="0" applyFont="1" applyAlignment="1" applyProtection="1">
      <alignment vertical="center"/>
    </xf>
    <xf numFmtId="0" fontId="45" fillId="0" borderId="0" xfId="0" applyFont="1" applyAlignment="1" applyProtection="1">
      <alignment horizontal="center" vertical="center"/>
    </xf>
    <xf numFmtId="0" fontId="46" fillId="0" borderId="0" xfId="0" applyFont="1" applyAlignment="1" applyProtection="1">
      <alignment vertical="center"/>
    </xf>
    <xf numFmtId="0" fontId="42" fillId="0" borderId="0" xfId="0" applyFont="1" applyAlignment="1" applyProtection="1">
      <alignment horizontal="center" vertical="center"/>
    </xf>
    <xf numFmtId="0" fontId="47" fillId="0" borderId="0" xfId="0" applyFont="1" applyAlignment="1" applyProtection="1">
      <alignment vertical="center"/>
    </xf>
    <xf numFmtId="0" fontId="29" fillId="0" borderId="13"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41" fillId="0" borderId="35" xfId="0" applyFont="1" applyFill="1" applyBorder="1" applyAlignment="1" applyProtection="1">
      <alignment horizontal="center" vertical="center" wrapText="1"/>
    </xf>
    <xf numFmtId="0" fontId="28" fillId="0" borderId="64" xfId="0" applyFont="1" applyBorder="1" applyAlignment="1" applyProtection="1">
      <alignment vertical="center" wrapText="1"/>
    </xf>
    <xf numFmtId="0" fontId="0" fillId="0" borderId="0" xfId="0" applyFont="1" applyBorder="1" applyAlignment="1">
      <alignment vertical="center"/>
    </xf>
    <xf numFmtId="0" fontId="41" fillId="0" borderId="35" xfId="0" applyFont="1" applyBorder="1" applyAlignment="1" applyProtection="1">
      <alignment horizontal="center" vertical="center"/>
    </xf>
    <xf numFmtId="0" fontId="50" fillId="0" borderId="12" xfId="0" applyFont="1" applyBorder="1" applyAlignment="1">
      <alignment vertical="center" wrapText="1"/>
    </xf>
    <xf numFmtId="0" fontId="50" fillId="0" borderId="19" xfId="0" applyFont="1" applyBorder="1" applyAlignment="1">
      <alignment vertical="center" wrapText="1"/>
    </xf>
    <xf numFmtId="0" fontId="30" fillId="0" borderId="0" xfId="0" applyFont="1" applyFill="1" applyAlignment="1" applyProtection="1"/>
    <xf numFmtId="0" fontId="0" fillId="0" borderId="0" xfId="0" applyFont="1" applyAlignment="1"/>
    <xf numFmtId="0" fontId="0" fillId="0" borderId="10" xfId="0" applyFont="1" applyBorder="1" applyAlignment="1"/>
    <xf numFmtId="0" fontId="31" fillId="0" borderId="31"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0" fillId="0" borderId="33"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Alignment="1">
      <alignment vertical="center"/>
    </xf>
    <xf numFmtId="0" fontId="31" fillId="0" borderId="18" xfId="0" applyNumberFormat="1" applyFont="1" applyFill="1" applyBorder="1" applyAlignment="1" applyProtection="1">
      <alignment horizontal="center" vertical="center"/>
      <protection locked="0"/>
    </xf>
    <xf numFmtId="0" fontId="31" fillId="0" borderId="12" xfId="0" applyNumberFormat="1" applyFont="1" applyFill="1" applyBorder="1" applyAlignment="1" applyProtection="1">
      <alignment horizontal="center" vertical="center"/>
      <protection locked="0"/>
    </xf>
    <xf numFmtId="0" fontId="31" fillId="0" borderId="19" xfId="0" applyNumberFormat="1" applyFont="1" applyFill="1" applyBorder="1" applyAlignment="1" applyProtection="1">
      <alignment horizontal="center" vertical="center"/>
      <protection locked="0"/>
    </xf>
    <xf numFmtId="0" fontId="41" fillId="0" borderId="12" xfId="0" applyFont="1" applyFill="1" applyBorder="1" applyAlignment="1" applyProtection="1">
      <alignment horizontal="left" vertical="center" wrapText="1"/>
    </xf>
    <xf numFmtId="0" fontId="41" fillId="0" borderId="19" xfId="0" applyFont="1" applyFill="1" applyBorder="1" applyAlignment="1" applyProtection="1">
      <alignment horizontal="left" vertical="center" wrapText="1"/>
    </xf>
    <xf numFmtId="0" fontId="41" fillId="0" borderId="18" xfId="0" applyFont="1" applyBorder="1" applyAlignment="1" applyProtection="1">
      <alignment horizontal="left" vertical="center" wrapText="1"/>
    </xf>
    <xf numFmtId="0" fontId="41" fillId="0" borderId="12" xfId="0" applyFont="1" applyBorder="1" applyAlignment="1" applyProtection="1">
      <alignment horizontal="left" vertical="center" wrapText="1"/>
    </xf>
    <xf numFmtId="0" fontId="41" fillId="0" borderId="19" xfId="0" applyFont="1" applyBorder="1" applyAlignment="1" applyProtection="1">
      <alignment horizontal="left" vertical="center" wrapText="1"/>
    </xf>
    <xf numFmtId="0" fontId="41" fillId="0" borderId="12" xfId="0" applyFont="1" applyBorder="1" applyAlignment="1" applyProtection="1">
      <alignment horizontal="center" vertical="center" wrapText="1"/>
    </xf>
    <xf numFmtId="0" fontId="41" fillId="0" borderId="19" xfId="0" applyFont="1" applyBorder="1" applyAlignment="1" applyProtection="1">
      <alignment horizontal="center" vertical="center" wrapText="1"/>
    </xf>
    <xf numFmtId="0" fontId="31" fillId="0" borderId="18"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19" xfId="0" applyFont="1" applyFill="1" applyBorder="1" applyAlignment="1" applyProtection="1">
      <alignment horizontal="center" vertical="center"/>
      <protection locked="0"/>
    </xf>
    <xf numFmtId="3" fontId="41" fillId="0" borderId="18" xfId="0" applyNumberFormat="1" applyFont="1" applyBorder="1" applyAlignment="1" applyProtection="1">
      <alignment horizontal="center" vertical="center" wrapText="1"/>
    </xf>
    <xf numFmtId="0" fontId="31" fillId="0" borderId="18" xfId="0" applyFont="1" applyFill="1" applyBorder="1" applyAlignment="1" applyProtection="1">
      <alignment horizontal="center" vertical="center"/>
    </xf>
    <xf numFmtId="0" fontId="31" fillId="0" borderId="12" xfId="0" applyFont="1" applyFill="1" applyBorder="1" applyAlignment="1" applyProtection="1">
      <alignment horizontal="center" vertical="center"/>
    </xf>
    <xf numFmtId="0" fontId="31" fillId="0" borderId="19" xfId="0" applyFont="1" applyFill="1" applyBorder="1" applyAlignment="1" applyProtection="1">
      <alignment horizontal="center" vertical="center"/>
    </xf>
    <xf numFmtId="0" fontId="32" fillId="0" borderId="0" xfId="46" applyFont="1" applyAlignment="1">
      <alignment horizontal="center"/>
    </xf>
    <xf numFmtId="0" fontId="29" fillId="0" borderId="36" xfId="46" applyFont="1" applyBorder="1" applyAlignment="1">
      <alignment horizontal="center" vertical="center" wrapText="1"/>
    </xf>
    <xf numFmtId="0" fontId="29" fillId="0" borderId="38" xfId="0" applyFont="1" applyBorder="1" applyAlignment="1">
      <alignment horizontal="center" vertical="center" wrapText="1"/>
    </xf>
    <xf numFmtId="0" fontId="29" fillId="0" borderId="37" xfId="0" applyFont="1" applyBorder="1" applyAlignment="1">
      <alignment horizontal="center" vertical="center" wrapText="1"/>
    </xf>
    <xf numFmtId="0" fontId="30" fillId="0" borderId="39" xfId="46" applyFont="1" applyBorder="1" applyAlignment="1">
      <alignment horizontal="center" vertical="center" wrapText="1"/>
    </xf>
    <xf numFmtId="0" fontId="30" fillId="0" borderId="40" xfId="0" applyFont="1" applyBorder="1" applyAlignment="1">
      <alignment horizontal="center" vertical="center" wrapText="1"/>
    </xf>
    <xf numFmtId="0" fontId="30" fillId="0" borderId="41" xfId="46" applyFont="1" applyBorder="1" applyAlignment="1">
      <alignment horizontal="center" vertical="center" wrapText="1"/>
    </xf>
    <xf numFmtId="0" fontId="30" fillId="0" borderId="42" xfId="0" applyFont="1" applyBorder="1" applyAlignment="1">
      <alignment horizontal="center" vertical="center" wrapText="1"/>
    </xf>
    <xf numFmtId="0" fontId="29" fillId="0" borderId="35" xfId="46" applyFont="1" applyBorder="1" applyAlignment="1">
      <alignment shrinkToFit="1"/>
    </xf>
    <xf numFmtId="0" fontId="29" fillId="0" borderId="35" xfId="0" applyFont="1" applyBorder="1" applyAlignment="1">
      <alignment shrinkToFit="1"/>
    </xf>
    <xf numFmtId="0" fontId="29" fillId="0" borderId="0" xfId="0" applyFont="1" applyBorder="1" applyAlignment="1">
      <alignment horizontal="left" vertical="center"/>
    </xf>
    <xf numFmtId="0" fontId="29" fillId="0" borderId="0" xfId="0" applyFont="1" applyBorder="1" applyAlignment="1">
      <alignment vertical="center"/>
    </xf>
    <xf numFmtId="0" fontId="56" fillId="0" borderId="0" xfId="46" applyFont="1" applyAlignment="1">
      <alignment vertical="center"/>
    </xf>
    <xf numFmtId="0" fontId="57" fillId="0" borderId="0" xfId="0" applyFont="1" applyAlignment="1">
      <alignment vertical="center"/>
    </xf>
    <xf numFmtId="0" fontId="42" fillId="0" borderId="0" xfId="46" applyFont="1" applyAlignment="1">
      <alignment horizontal="center" vertical="center" wrapText="1"/>
    </xf>
    <xf numFmtId="0" fontId="55" fillId="0" borderId="0" xfId="0" applyFont="1" applyAlignment="1">
      <alignment horizontal="center" vertical="center"/>
    </xf>
    <xf numFmtId="0" fontId="55" fillId="0" borderId="0" xfId="0" applyFont="1" applyAlignment="1">
      <alignment horizontal="center"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9" builtinId="7"/>
    <cellStyle name="入力" xfId="41" builtinId="20" customBuiltin="1"/>
    <cellStyle name="標準" xfId="0" builtinId="0"/>
    <cellStyle name="標準 2" xfId="42"/>
    <cellStyle name="標準 2 2" xfId="48"/>
    <cellStyle name="標準 3" xfId="43"/>
    <cellStyle name="標準 4" xfId="44"/>
    <cellStyle name="標準 5" xfId="46"/>
    <cellStyle name="良い" xfId="45" builtinId="26" customBuiltin="1"/>
  </cellStyles>
  <dxfs count="0"/>
  <tableStyles count="0" defaultTableStyle="TableStyleMedium2" defaultPivotStyle="PivotStyleLight16"/>
  <colors>
    <mruColors>
      <color rgb="FF0000FF"/>
      <color rgb="FFD60093"/>
      <color rgb="FFFFFFCC"/>
      <color rgb="FFFFFF99"/>
      <color rgb="FF6600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129540</xdr:colOff>
          <xdr:row>52</xdr:row>
          <xdr:rowOff>106680</xdr:rowOff>
        </xdr:from>
        <xdr:to>
          <xdr:col>5</xdr:col>
          <xdr:colOff>190500</xdr:colOff>
          <xdr:row>54</xdr:row>
          <xdr:rowOff>30480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55</xdr:row>
          <xdr:rowOff>182880</xdr:rowOff>
        </xdr:from>
        <xdr:to>
          <xdr:col>5</xdr:col>
          <xdr:colOff>205740</xdr:colOff>
          <xdr:row>57</xdr:row>
          <xdr:rowOff>30480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57</xdr:row>
          <xdr:rowOff>106680</xdr:rowOff>
        </xdr:from>
        <xdr:to>
          <xdr:col>5</xdr:col>
          <xdr:colOff>190500</xdr:colOff>
          <xdr:row>59</xdr:row>
          <xdr:rowOff>30480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19050</xdr:colOff>
      <xdr:row>22</xdr:row>
      <xdr:rowOff>134938</xdr:rowOff>
    </xdr:from>
    <xdr:to>
      <xdr:col>14</xdr:col>
      <xdr:colOff>231775</xdr:colOff>
      <xdr:row>24</xdr:row>
      <xdr:rowOff>233363</xdr:rowOff>
    </xdr:to>
    <xdr:sp macro="" textlink="">
      <xdr:nvSpPr>
        <xdr:cNvPr id="43" name="AutoShape 3">
          <a:extLst>
            <a:ext uri="{FF2B5EF4-FFF2-40B4-BE49-F238E27FC236}">
              <a16:creationId xmlns:a16="http://schemas.microsoft.com/office/drawing/2014/main" id="{00000000-0008-0000-0200-00005C000000}"/>
            </a:ext>
          </a:extLst>
        </xdr:cNvPr>
        <xdr:cNvSpPr>
          <a:spLocks noChangeArrowheads="1"/>
        </xdr:cNvSpPr>
      </xdr:nvSpPr>
      <xdr:spPr bwMode="auto">
        <a:xfrm>
          <a:off x="19050" y="5411788"/>
          <a:ext cx="3394075" cy="498475"/>
        </a:xfrm>
        <a:prstGeom prst="roundRect">
          <a:avLst>
            <a:gd name="adj" fmla="val 16667"/>
          </a:avLst>
        </a:prstGeom>
        <a:noFill/>
        <a:ln w="15875" algn="ctr">
          <a:solidFill>
            <a:srgbClr val="FF6600"/>
          </a:solidFill>
          <a:round/>
          <a:headEnd/>
          <a:tailEnd/>
        </a:ln>
      </xdr:spPr>
    </xdr:sp>
    <xdr:clientData/>
  </xdr:twoCellAnchor>
  <xdr:twoCellAnchor>
    <xdr:from>
      <xdr:col>14</xdr:col>
      <xdr:colOff>212724</xdr:colOff>
      <xdr:row>21</xdr:row>
      <xdr:rowOff>19050</xdr:rowOff>
    </xdr:from>
    <xdr:to>
      <xdr:col>18</xdr:col>
      <xdr:colOff>76200</xdr:colOff>
      <xdr:row>23</xdr:row>
      <xdr:rowOff>84137</xdr:rowOff>
    </xdr:to>
    <xdr:sp macro="" textlink="">
      <xdr:nvSpPr>
        <xdr:cNvPr id="44" name="Line 23">
          <a:extLst>
            <a:ext uri="{FF2B5EF4-FFF2-40B4-BE49-F238E27FC236}">
              <a16:creationId xmlns:a16="http://schemas.microsoft.com/office/drawing/2014/main" id="{00000000-0008-0000-0200-00005D000000}"/>
            </a:ext>
          </a:extLst>
        </xdr:cNvPr>
        <xdr:cNvSpPr>
          <a:spLocks noChangeShapeType="1"/>
        </xdr:cNvSpPr>
      </xdr:nvSpPr>
      <xdr:spPr bwMode="auto">
        <a:xfrm flipH="1">
          <a:off x="3394074" y="5172075"/>
          <a:ext cx="815976" cy="341312"/>
        </a:xfrm>
        <a:prstGeom prst="line">
          <a:avLst/>
        </a:prstGeom>
        <a:noFill/>
        <a:ln w="15875">
          <a:solidFill>
            <a:srgbClr val="FF6600"/>
          </a:solidFill>
          <a:round/>
          <a:headEnd/>
          <a:tailEnd type="triangle" w="med" len="med"/>
        </a:ln>
      </xdr:spPr>
    </xdr:sp>
    <xdr:clientData/>
  </xdr:twoCellAnchor>
  <xdr:twoCellAnchor>
    <xdr:from>
      <xdr:col>22</xdr:col>
      <xdr:colOff>3175</xdr:colOff>
      <xdr:row>29</xdr:row>
      <xdr:rowOff>231776</xdr:rowOff>
    </xdr:from>
    <xdr:to>
      <xdr:col>31</xdr:col>
      <xdr:colOff>3175</xdr:colOff>
      <xdr:row>31</xdr:row>
      <xdr:rowOff>1</xdr:rowOff>
    </xdr:to>
    <xdr:sp macro="" textlink="">
      <xdr:nvSpPr>
        <xdr:cNvPr id="45" name="AutoShape 3">
          <a:extLst>
            <a:ext uri="{FF2B5EF4-FFF2-40B4-BE49-F238E27FC236}">
              <a16:creationId xmlns:a16="http://schemas.microsoft.com/office/drawing/2014/main" id="{00000000-0008-0000-0200-00005F000000}"/>
            </a:ext>
          </a:extLst>
        </xdr:cNvPr>
        <xdr:cNvSpPr>
          <a:spLocks noChangeArrowheads="1"/>
        </xdr:cNvSpPr>
      </xdr:nvSpPr>
      <xdr:spPr bwMode="auto">
        <a:xfrm>
          <a:off x="5099050" y="7018339"/>
          <a:ext cx="2333625" cy="339725"/>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18</xdr:col>
      <xdr:colOff>114300</xdr:colOff>
      <xdr:row>24</xdr:row>
      <xdr:rowOff>100013</xdr:rowOff>
    </xdr:from>
    <xdr:ext cx="2457450" cy="352425"/>
    <xdr:sp macro="" textlink="">
      <xdr:nvSpPr>
        <xdr:cNvPr id="46" name="AutoShape 24">
          <a:extLst>
            <a:ext uri="{FF2B5EF4-FFF2-40B4-BE49-F238E27FC236}">
              <a16:creationId xmlns:a16="http://schemas.microsoft.com/office/drawing/2014/main" id="{00000000-0008-0000-0200-000060000000}"/>
            </a:ext>
          </a:extLst>
        </xdr:cNvPr>
        <xdr:cNvSpPr>
          <a:spLocks noChangeArrowheads="1"/>
        </xdr:cNvSpPr>
      </xdr:nvSpPr>
      <xdr:spPr bwMode="auto">
        <a:xfrm>
          <a:off x="4248150" y="5776913"/>
          <a:ext cx="2457450" cy="352425"/>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ja-JP" sz="1100" b="0" i="0" baseline="0">
              <a:effectLst/>
              <a:latin typeface="+mn-lt"/>
              <a:ea typeface="+mn-ea"/>
              <a:cs typeface="+mn-cs"/>
            </a:rPr>
            <a:t>お取引先様にて記入</a:t>
          </a:r>
          <a:r>
            <a:rPr lang="ja-JP" altLang="en-US" sz="1100" b="0" i="0" baseline="0">
              <a:effectLst/>
              <a:latin typeface="+mn-lt"/>
              <a:ea typeface="+mn-ea"/>
              <a:cs typeface="+mn-cs"/>
            </a:rPr>
            <a:t>をお願いします。</a:t>
          </a:r>
          <a:endParaRPr lang="ja-JP" altLang="ja-JP">
            <a:effectLst/>
          </a:endParaRPr>
        </a:p>
      </xdr:txBody>
    </xdr:sp>
    <xdr:clientData/>
  </xdr:oneCellAnchor>
  <xdr:twoCellAnchor>
    <xdr:from>
      <xdr:col>8</xdr:col>
      <xdr:colOff>219074</xdr:colOff>
      <xdr:row>24</xdr:row>
      <xdr:rowOff>228600</xdr:rowOff>
    </xdr:from>
    <xdr:to>
      <xdr:col>18</xdr:col>
      <xdr:colOff>114298</xdr:colOff>
      <xdr:row>26</xdr:row>
      <xdr:rowOff>171450</xdr:rowOff>
    </xdr:to>
    <xdr:sp macro="" textlink="">
      <xdr:nvSpPr>
        <xdr:cNvPr id="47" name="Line 23">
          <a:extLst>
            <a:ext uri="{FF2B5EF4-FFF2-40B4-BE49-F238E27FC236}">
              <a16:creationId xmlns:a16="http://schemas.microsoft.com/office/drawing/2014/main" id="{00000000-0008-0000-0200-000061000000}"/>
            </a:ext>
          </a:extLst>
        </xdr:cNvPr>
        <xdr:cNvSpPr>
          <a:spLocks noChangeShapeType="1"/>
        </xdr:cNvSpPr>
      </xdr:nvSpPr>
      <xdr:spPr bwMode="auto">
        <a:xfrm flipH="1">
          <a:off x="1971674" y="5905500"/>
          <a:ext cx="2276474" cy="314325"/>
        </a:xfrm>
        <a:prstGeom prst="line">
          <a:avLst/>
        </a:prstGeom>
        <a:noFill/>
        <a:ln w="15875">
          <a:solidFill>
            <a:srgbClr val="FF6600"/>
          </a:solidFill>
          <a:round/>
          <a:headEnd/>
          <a:tailEnd type="triangle" w="med" len="med"/>
        </a:ln>
      </xdr:spPr>
    </xdr:sp>
    <xdr:clientData/>
  </xdr:twoCellAnchor>
  <xdr:oneCellAnchor>
    <xdr:from>
      <xdr:col>14</xdr:col>
      <xdr:colOff>101601</xdr:colOff>
      <xdr:row>32</xdr:row>
      <xdr:rowOff>112713</xdr:rowOff>
    </xdr:from>
    <xdr:ext cx="3695700" cy="333375"/>
    <xdr:sp macro="" textlink="">
      <xdr:nvSpPr>
        <xdr:cNvPr id="48" name="AutoShape 24">
          <a:extLst>
            <a:ext uri="{FF2B5EF4-FFF2-40B4-BE49-F238E27FC236}">
              <a16:creationId xmlns:a16="http://schemas.microsoft.com/office/drawing/2014/main" id="{00000000-0008-0000-0200-000062000000}"/>
            </a:ext>
          </a:extLst>
        </xdr:cNvPr>
        <xdr:cNvSpPr>
          <a:spLocks noChangeArrowheads="1"/>
        </xdr:cNvSpPr>
      </xdr:nvSpPr>
      <xdr:spPr bwMode="auto">
        <a:xfrm>
          <a:off x="3292476" y="7589838"/>
          <a:ext cx="3695700" cy="333375"/>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ja-JP" sz="1100" b="0" i="0" baseline="0">
              <a:effectLst/>
              <a:latin typeface="+mn-lt"/>
              <a:ea typeface="+mn-ea"/>
              <a:cs typeface="+mn-cs"/>
            </a:rPr>
            <a:t>捺印</a:t>
          </a:r>
          <a:r>
            <a:rPr lang="ja-JP" altLang="en-US" sz="1100" b="0" i="0" baseline="0">
              <a:effectLst/>
              <a:latin typeface="+mn-lt"/>
              <a:ea typeface="+mn-ea"/>
              <a:cs typeface="+mn-cs"/>
            </a:rPr>
            <a:t>（社印又は責任者の印）</a:t>
          </a:r>
          <a:r>
            <a:rPr lang="ja-JP" altLang="ja-JP" sz="1100" b="0" i="0" baseline="0">
              <a:effectLst/>
              <a:latin typeface="+mn-lt"/>
              <a:ea typeface="+mn-ea"/>
              <a:cs typeface="+mn-cs"/>
            </a:rPr>
            <a:t>またはサインをお願い致します。</a:t>
          </a:r>
          <a:endParaRPr lang="ja-JP" altLang="ja-JP">
            <a:effectLst/>
          </a:endParaRPr>
        </a:p>
      </xdr:txBody>
    </xdr:sp>
    <xdr:clientData/>
  </xdr:oneCellAnchor>
  <xdr:twoCellAnchor>
    <xdr:from>
      <xdr:col>24</xdr:col>
      <xdr:colOff>30163</xdr:colOff>
      <xdr:row>31</xdr:row>
      <xdr:rowOff>25400</xdr:rowOff>
    </xdr:from>
    <xdr:to>
      <xdr:col>26</xdr:col>
      <xdr:colOff>28575</xdr:colOff>
      <xdr:row>32</xdr:row>
      <xdr:rowOff>106361</xdr:rowOff>
    </xdr:to>
    <xdr:sp macro="" textlink="">
      <xdr:nvSpPr>
        <xdr:cNvPr id="49" name="Line 23">
          <a:extLst>
            <a:ext uri="{FF2B5EF4-FFF2-40B4-BE49-F238E27FC236}">
              <a16:creationId xmlns:a16="http://schemas.microsoft.com/office/drawing/2014/main" id="{00000000-0008-0000-0200-000063000000}"/>
            </a:ext>
          </a:extLst>
        </xdr:cNvPr>
        <xdr:cNvSpPr>
          <a:spLocks noChangeShapeType="1"/>
        </xdr:cNvSpPr>
      </xdr:nvSpPr>
      <xdr:spPr bwMode="auto">
        <a:xfrm flipV="1">
          <a:off x="5602288" y="7383463"/>
          <a:ext cx="474662" cy="200023"/>
        </a:xfrm>
        <a:prstGeom prst="line">
          <a:avLst/>
        </a:prstGeom>
        <a:noFill/>
        <a:ln w="15875">
          <a:solidFill>
            <a:schemeClr val="accent6">
              <a:lumMod val="75000"/>
            </a:schemeClr>
          </a:solidFill>
          <a:round/>
          <a:headEnd/>
          <a:tailEnd type="triangle" w="med" len="med"/>
        </a:ln>
      </xdr:spPr>
    </xdr:sp>
    <xdr:clientData/>
  </xdr:twoCellAnchor>
  <xdr:twoCellAnchor>
    <xdr:from>
      <xdr:col>1</xdr:col>
      <xdr:colOff>204298</xdr:colOff>
      <xdr:row>48</xdr:row>
      <xdr:rowOff>161927</xdr:rowOff>
    </xdr:from>
    <xdr:to>
      <xdr:col>30</xdr:col>
      <xdr:colOff>228600</xdr:colOff>
      <xdr:row>49</xdr:row>
      <xdr:rowOff>279401</xdr:rowOff>
    </xdr:to>
    <xdr:sp macro="" textlink="">
      <xdr:nvSpPr>
        <xdr:cNvPr id="50" name="AutoShape 3">
          <a:extLst>
            <a:ext uri="{FF2B5EF4-FFF2-40B4-BE49-F238E27FC236}">
              <a16:creationId xmlns:a16="http://schemas.microsoft.com/office/drawing/2014/main" id="{00000000-0008-0000-0200-000064000000}"/>
            </a:ext>
          </a:extLst>
        </xdr:cNvPr>
        <xdr:cNvSpPr>
          <a:spLocks noChangeArrowheads="1"/>
        </xdr:cNvSpPr>
      </xdr:nvSpPr>
      <xdr:spPr bwMode="auto">
        <a:xfrm>
          <a:off x="299548" y="10591802"/>
          <a:ext cx="7120427" cy="307974"/>
        </a:xfrm>
        <a:prstGeom prst="roundRect">
          <a:avLst>
            <a:gd name="adj" fmla="val 16667"/>
          </a:avLst>
        </a:prstGeom>
        <a:noFill/>
        <a:ln w="15875" algn="ctr">
          <a:solidFill>
            <a:srgbClr val="FF6600"/>
          </a:solidFill>
          <a:round/>
          <a:headEnd/>
          <a:tailEnd/>
        </a:ln>
      </xdr:spPr>
    </xdr:sp>
    <xdr:clientData/>
  </xdr:twoCellAnchor>
  <xdr:oneCellAnchor>
    <xdr:from>
      <xdr:col>4</xdr:col>
      <xdr:colOff>174624</xdr:colOff>
      <xdr:row>45</xdr:row>
      <xdr:rowOff>161925</xdr:rowOff>
    </xdr:from>
    <xdr:ext cx="6086475" cy="323850"/>
    <xdr:sp macro="" textlink="">
      <xdr:nvSpPr>
        <xdr:cNvPr id="51" name="AutoShape 24">
          <a:extLst>
            <a:ext uri="{FF2B5EF4-FFF2-40B4-BE49-F238E27FC236}">
              <a16:creationId xmlns:a16="http://schemas.microsoft.com/office/drawing/2014/main" id="{00000000-0008-0000-0200-000065000000}"/>
            </a:ext>
          </a:extLst>
        </xdr:cNvPr>
        <xdr:cNvSpPr>
          <a:spLocks noChangeArrowheads="1"/>
        </xdr:cNvSpPr>
      </xdr:nvSpPr>
      <xdr:spPr bwMode="auto">
        <a:xfrm>
          <a:off x="984249" y="10091738"/>
          <a:ext cx="6086475" cy="32385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a:effectLst/>
            </a:rPr>
            <a:t>取引先様の品名、品番、図番等を記入ください。代理店様の場合は商品のメーカー名を記入ください。</a:t>
          </a:r>
          <a:endParaRPr lang="ja-JP" altLang="ja-JP">
            <a:effectLst/>
          </a:endParaRPr>
        </a:p>
      </xdr:txBody>
    </xdr:sp>
    <xdr:clientData/>
  </xdr:oneCellAnchor>
  <xdr:twoCellAnchor>
    <xdr:from>
      <xdr:col>10</xdr:col>
      <xdr:colOff>228596</xdr:colOff>
      <xdr:row>47</xdr:row>
      <xdr:rowOff>71437</xdr:rowOff>
    </xdr:from>
    <xdr:to>
      <xdr:col>13</xdr:col>
      <xdr:colOff>219074</xdr:colOff>
      <xdr:row>48</xdr:row>
      <xdr:rowOff>123825</xdr:rowOff>
    </xdr:to>
    <xdr:sp macro="" textlink="">
      <xdr:nvSpPr>
        <xdr:cNvPr id="52" name="Line 23">
          <a:extLst>
            <a:ext uri="{FF2B5EF4-FFF2-40B4-BE49-F238E27FC236}">
              <a16:creationId xmlns:a16="http://schemas.microsoft.com/office/drawing/2014/main" id="{00000000-0008-0000-0200-000066000000}"/>
            </a:ext>
          </a:extLst>
        </xdr:cNvPr>
        <xdr:cNvSpPr>
          <a:spLocks noChangeShapeType="1"/>
        </xdr:cNvSpPr>
      </xdr:nvSpPr>
      <xdr:spPr bwMode="auto">
        <a:xfrm flipH="1">
          <a:off x="2466971" y="10382250"/>
          <a:ext cx="704853" cy="171450"/>
        </a:xfrm>
        <a:prstGeom prst="line">
          <a:avLst/>
        </a:prstGeom>
        <a:noFill/>
        <a:ln w="15875">
          <a:solidFill>
            <a:srgbClr val="FF6600"/>
          </a:solidFill>
          <a:round/>
          <a:headEnd/>
          <a:tailEnd type="triangle" w="med" len="med"/>
        </a:ln>
      </xdr:spPr>
    </xdr:sp>
    <xdr:clientData/>
  </xdr:twoCellAnchor>
  <xdr:twoCellAnchor>
    <xdr:from>
      <xdr:col>1</xdr:col>
      <xdr:colOff>184151</xdr:colOff>
      <xdr:row>50</xdr:row>
      <xdr:rowOff>19050</xdr:rowOff>
    </xdr:from>
    <xdr:to>
      <xdr:col>31</xdr:col>
      <xdr:colOff>-1</xdr:colOff>
      <xdr:row>52</xdr:row>
      <xdr:rowOff>46038</xdr:rowOff>
    </xdr:to>
    <xdr:sp macro="" textlink="">
      <xdr:nvSpPr>
        <xdr:cNvPr id="53" name="AutoShape 3">
          <a:extLst>
            <a:ext uri="{FF2B5EF4-FFF2-40B4-BE49-F238E27FC236}">
              <a16:creationId xmlns:a16="http://schemas.microsoft.com/office/drawing/2014/main" id="{00000000-0008-0000-0200-000067000000}"/>
            </a:ext>
          </a:extLst>
        </xdr:cNvPr>
        <xdr:cNvSpPr>
          <a:spLocks noChangeArrowheads="1"/>
        </xdr:cNvSpPr>
      </xdr:nvSpPr>
      <xdr:spPr bwMode="auto">
        <a:xfrm>
          <a:off x="279401" y="10948988"/>
          <a:ext cx="7150098" cy="646113"/>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8</xdr:col>
      <xdr:colOff>79374</xdr:colOff>
      <xdr:row>53</xdr:row>
      <xdr:rowOff>76200</xdr:rowOff>
    </xdr:from>
    <xdr:ext cx="5286375" cy="460375"/>
    <xdr:sp macro="" textlink="">
      <xdr:nvSpPr>
        <xdr:cNvPr id="54" name="AutoShape 24">
          <a:extLst>
            <a:ext uri="{FF2B5EF4-FFF2-40B4-BE49-F238E27FC236}">
              <a16:creationId xmlns:a16="http://schemas.microsoft.com/office/drawing/2014/main" id="{00000000-0008-0000-0200-000068000000}"/>
            </a:ext>
          </a:extLst>
        </xdr:cNvPr>
        <xdr:cNvSpPr>
          <a:spLocks noChangeArrowheads="1"/>
        </xdr:cNvSpPr>
      </xdr:nvSpPr>
      <xdr:spPr bwMode="auto">
        <a:xfrm>
          <a:off x="1841499" y="11744325"/>
          <a:ext cx="5286375" cy="460375"/>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a:effectLst/>
            </a:rPr>
            <a:t>ミネベアミツミグループ</a:t>
          </a:r>
          <a:r>
            <a:rPr lang="ja-JP" altLang="en-US">
              <a:solidFill>
                <a:sysClr val="windowText" lastClr="000000"/>
              </a:solidFill>
              <a:effectLst/>
            </a:rPr>
            <a:t>の品名、品番、図番等を分かる範囲で記入ください。</a:t>
          </a:r>
          <a:endParaRPr lang="en-US" altLang="ja-JP">
            <a:solidFill>
              <a:sysClr val="windowText" lastClr="000000"/>
            </a:solidFill>
            <a:effectLst/>
          </a:endParaRPr>
        </a:p>
        <a:p>
          <a:pPr rtl="0"/>
          <a:r>
            <a:rPr lang="ja-JP" altLang="en-US">
              <a:solidFill>
                <a:sysClr val="windowText" lastClr="000000"/>
              </a:solidFill>
              <a:effectLst/>
            </a:rPr>
            <a:t>ミツミ電機向けは品名と図番のみになります。品番、アイテムコードは不要です。</a:t>
          </a:r>
          <a:endParaRPr lang="ja-JP" altLang="ja-JP">
            <a:solidFill>
              <a:sysClr val="windowText" lastClr="000000"/>
            </a:solidFill>
            <a:effectLst/>
          </a:endParaRPr>
        </a:p>
      </xdr:txBody>
    </xdr:sp>
    <xdr:clientData/>
  </xdr:oneCellAnchor>
  <xdr:twoCellAnchor>
    <xdr:from>
      <xdr:col>15</xdr:col>
      <xdr:colOff>208453</xdr:colOff>
      <xdr:row>51</xdr:row>
      <xdr:rowOff>212725</xdr:rowOff>
    </xdr:from>
    <xdr:to>
      <xdr:col>17</xdr:col>
      <xdr:colOff>25400</xdr:colOff>
      <xdr:row>53</xdr:row>
      <xdr:rowOff>69851</xdr:rowOff>
    </xdr:to>
    <xdr:sp macro="" textlink="">
      <xdr:nvSpPr>
        <xdr:cNvPr id="55" name="Line 23">
          <a:extLst>
            <a:ext uri="{FF2B5EF4-FFF2-40B4-BE49-F238E27FC236}">
              <a16:creationId xmlns:a16="http://schemas.microsoft.com/office/drawing/2014/main" id="{00000000-0008-0000-0200-000069000000}"/>
            </a:ext>
          </a:extLst>
        </xdr:cNvPr>
        <xdr:cNvSpPr>
          <a:spLocks noChangeShapeType="1"/>
        </xdr:cNvSpPr>
      </xdr:nvSpPr>
      <xdr:spPr bwMode="auto">
        <a:xfrm flipH="1" flipV="1">
          <a:off x="3637453" y="11452225"/>
          <a:ext cx="293197" cy="285751"/>
        </a:xfrm>
        <a:prstGeom prst="line">
          <a:avLst/>
        </a:prstGeom>
        <a:noFill/>
        <a:ln w="15875">
          <a:solidFill>
            <a:schemeClr val="accent6">
              <a:lumMod val="75000"/>
            </a:schemeClr>
          </a:solidFill>
          <a:round/>
          <a:headEnd/>
          <a:tailEnd type="triangle" w="med" len="med"/>
        </a:ln>
      </xdr:spPr>
    </xdr:sp>
    <xdr:clientData/>
  </xdr:twoCellAnchor>
  <xdr:twoCellAnchor>
    <xdr:from>
      <xdr:col>1</xdr:col>
      <xdr:colOff>165100</xdr:colOff>
      <xdr:row>54</xdr:row>
      <xdr:rowOff>84139</xdr:rowOff>
    </xdr:from>
    <xdr:to>
      <xdr:col>4</xdr:col>
      <xdr:colOff>31750</xdr:colOff>
      <xdr:row>60</xdr:row>
      <xdr:rowOff>46037</xdr:rowOff>
    </xdr:to>
    <xdr:sp macro="" textlink="">
      <xdr:nvSpPr>
        <xdr:cNvPr id="56" name="AutoShape 3">
          <a:extLst>
            <a:ext uri="{FF2B5EF4-FFF2-40B4-BE49-F238E27FC236}">
              <a16:creationId xmlns:a16="http://schemas.microsoft.com/office/drawing/2014/main" id="{00000000-0008-0000-0200-00006A000000}"/>
            </a:ext>
          </a:extLst>
        </xdr:cNvPr>
        <xdr:cNvSpPr>
          <a:spLocks noChangeArrowheads="1"/>
        </xdr:cNvSpPr>
      </xdr:nvSpPr>
      <xdr:spPr bwMode="auto">
        <a:xfrm>
          <a:off x="260350" y="11942764"/>
          <a:ext cx="581025" cy="890586"/>
        </a:xfrm>
        <a:prstGeom prst="roundRect">
          <a:avLst>
            <a:gd name="adj" fmla="val 16667"/>
          </a:avLst>
        </a:prstGeom>
        <a:noFill/>
        <a:ln w="15875" algn="ctr">
          <a:solidFill>
            <a:srgbClr val="FF6600"/>
          </a:solidFill>
          <a:round/>
          <a:headEnd/>
          <a:tailEnd/>
        </a:ln>
      </xdr:spPr>
    </xdr:sp>
    <xdr:clientData/>
  </xdr:twoCellAnchor>
  <xdr:oneCellAnchor>
    <xdr:from>
      <xdr:col>5</xdr:col>
      <xdr:colOff>221153</xdr:colOff>
      <xdr:row>60</xdr:row>
      <xdr:rowOff>74613</xdr:rowOff>
    </xdr:from>
    <xdr:ext cx="4820747" cy="447675"/>
    <xdr:sp macro="" textlink="">
      <xdr:nvSpPr>
        <xdr:cNvPr id="57" name="AutoShape 24">
          <a:extLst>
            <a:ext uri="{FF2B5EF4-FFF2-40B4-BE49-F238E27FC236}">
              <a16:creationId xmlns:a16="http://schemas.microsoft.com/office/drawing/2014/main" id="{00000000-0008-0000-0200-00006B000000}"/>
            </a:ext>
          </a:extLst>
        </xdr:cNvPr>
        <xdr:cNvSpPr>
          <a:spLocks noChangeArrowheads="1"/>
        </xdr:cNvSpPr>
      </xdr:nvSpPr>
      <xdr:spPr bwMode="auto">
        <a:xfrm>
          <a:off x="1268903" y="12861926"/>
          <a:ext cx="4820747" cy="447675"/>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a:effectLst/>
            </a:rPr>
            <a:t>適切な方に、✔を入れてください。</a:t>
          </a:r>
          <a:r>
            <a:rPr lang="en-US" altLang="ja-JP">
              <a:effectLst/>
            </a:rPr>
            <a:t>(</a:t>
          </a:r>
          <a:r>
            <a:rPr lang="ja-JP" altLang="en-US">
              <a:effectLst/>
            </a:rPr>
            <a:t>クリックで✔が入ります</a:t>
          </a:r>
          <a:r>
            <a:rPr lang="en-US" altLang="ja-JP">
              <a:effectLst/>
            </a:rPr>
            <a:t>)</a:t>
          </a:r>
        </a:p>
        <a:p>
          <a:pPr rtl="0"/>
          <a:r>
            <a:rPr lang="ja-JP" altLang="en-US">
              <a:effectLst/>
            </a:rPr>
            <a:t>適用除外用途で禁止物質を使用している場合、下表に内容を記入してください。</a:t>
          </a:r>
        </a:p>
      </xdr:txBody>
    </xdr:sp>
    <xdr:clientData/>
  </xdr:oneCellAnchor>
  <xdr:twoCellAnchor>
    <xdr:from>
      <xdr:col>4</xdr:col>
      <xdr:colOff>47624</xdr:colOff>
      <xdr:row>58</xdr:row>
      <xdr:rowOff>33338</xdr:rowOff>
    </xdr:from>
    <xdr:to>
      <xdr:col>5</xdr:col>
      <xdr:colOff>231773</xdr:colOff>
      <xdr:row>60</xdr:row>
      <xdr:rowOff>138112</xdr:rowOff>
    </xdr:to>
    <xdr:sp macro="" textlink="">
      <xdr:nvSpPr>
        <xdr:cNvPr id="58" name="Line 23">
          <a:extLst>
            <a:ext uri="{FF2B5EF4-FFF2-40B4-BE49-F238E27FC236}">
              <a16:creationId xmlns:a16="http://schemas.microsoft.com/office/drawing/2014/main" id="{00000000-0008-0000-0200-00006C000000}"/>
            </a:ext>
          </a:extLst>
        </xdr:cNvPr>
        <xdr:cNvSpPr>
          <a:spLocks noChangeShapeType="1"/>
        </xdr:cNvSpPr>
      </xdr:nvSpPr>
      <xdr:spPr bwMode="auto">
        <a:xfrm flipH="1" flipV="1">
          <a:off x="857249" y="12511088"/>
          <a:ext cx="422274" cy="414337"/>
        </a:xfrm>
        <a:prstGeom prst="line">
          <a:avLst/>
        </a:prstGeom>
        <a:noFill/>
        <a:ln w="15875">
          <a:solidFill>
            <a:srgbClr val="FF6600"/>
          </a:solidFill>
          <a:round/>
          <a:headEnd/>
          <a:tailEnd type="triangle" w="med" len="med"/>
        </a:ln>
      </xdr:spPr>
    </xdr:sp>
    <xdr:clientData/>
  </xdr:twoCellAnchor>
  <xdr:twoCellAnchor>
    <xdr:from>
      <xdr:col>1</xdr:col>
      <xdr:colOff>203200</xdr:colOff>
      <xdr:row>62</xdr:row>
      <xdr:rowOff>106363</xdr:rowOff>
    </xdr:from>
    <xdr:to>
      <xdr:col>31</xdr:col>
      <xdr:colOff>31750</xdr:colOff>
      <xdr:row>68</xdr:row>
      <xdr:rowOff>219076</xdr:rowOff>
    </xdr:to>
    <xdr:sp macro="" textlink="">
      <xdr:nvSpPr>
        <xdr:cNvPr id="59" name="AutoShape 3">
          <a:extLst>
            <a:ext uri="{FF2B5EF4-FFF2-40B4-BE49-F238E27FC236}">
              <a16:creationId xmlns:a16="http://schemas.microsoft.com/office/drawing/2014/main" id="{00000000-0008-0000-0200-00006D000000}"/>
            </a:ext>
          </a:extLst>
        </xdr:cNvPr>
        <xdr:cNvSpPr>
          <a:spLocks noChangeArrowheads="1"/>
        </xdr:cNvSpPr>
      </xdr:nvSpPr>
      <xdr:spPr bwMode="auto">
        <a:xfrm>
          <a:off x="298450" y="13322301"/>
          <a:ext cx="7162800" cy="1470025"/>
        </a:xfrm>
        <a:prstGeom prst="roundRect">
          <a:avLst>
            <a:gd name="adj" fmla="val 16667"/>
          </a:avLst>
        </a:prstGeom>
        <a:noFill/>
        <a:ln w="15875" algn="ctr">
          <a:solidFill>
            <a:srgbClr val="FF6600"/>
          </a:solidFill>
          <a:round/>
          <a:headEnd/>
          <a:tailEnd/>
        </a:ln>
      </xdr:spPr>
    </xdr:sp>
    <xdr:clientData/>
  </xdr:twoCellAnchor>
  <xdr:oneCellAnchor>
    <xdr:from>
      <xdr:col>6</xdr:col>
      <xdr:colOff>9525</xdr:colOff>
      <xdr:row>56</xdr:row>
      <xdr:rowOff>138112</xdr:rowOff>
    </xdr:from>
    <xdr:ext cx="6934200" cy="514352"/>
    <xdr:sp macro="" textlink="">
      <xdr:nvSpPr>
        <xdr:cNvPr id="61" name="AutoShape 20">
          <a:extLst>
            <a:ext uri="{FF2B5EF4-FFF2-40B4-BE49-F238E27FC236}">
              <a16:creationId xmlns:a16="http://schemas.microsoft.com/office/drawing/2014/main" id="{00000000-0008-0000-0200-00006F000000}"/>
            </a:ext>
          </a:extLst>
        </xdr:cNvPr>
        <xdr:cNvSpPr>
          <a:spLocks noChangeArrowheads="1"/>
        </xdr:cNvSpPr>
      </xdr:nvSpPr>
      <xdr:spPr bwMode="auto">
        <a:xfrm>
          <a:off x="1295400" y="12306300"/>
          <a:ext cx="6934200" cy="514352"/>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square" lIns="18288" tIns="18288" rIns="0" bIns="0" anchor="t" upright="1">
          <a:noAutofit/>
        </a:bodyPr>
        <a:lstStyle/>
        <a:p>
          <a:pPr rtl="0"/>
          <a:r>
            <a:rPr lang="ja-JP" altLang="en-US" sz="1100">
              <a:solidFill>
                <a:sysClr val="windowText" lastClr="000000"/>
              </a:solidFill>
              <a:effectLst/>
              <a:latin typeface="+mn-lt"/>
              <a:ea typeface="+mn-ea"/>
              <a:cs typeface="+mn-cs"/>
            </a:rPr>
            <a:t>部品が多数のため不使用証明書リストを添付して報告する</a:t>
          </a:r>
          <a:r>
            <a:rPr lang="ja-JP" altLang="ja-JP" sz="1100">
              <a:solidFill>
                <a:sysClr val="windowText" lastClr="000000"/>
              </a:solidFill>
              <a:effectLst/>
              <a:latin typeface="+mn-lt"/>
              <a:ea typeface="+mn-ea"/>
              <a:cs typeface="+mn-cs"/>
            </a:rPr>
            <a:t>場合、</a:t>
          </a:r>
          <a:r>
            <a:rPr lang="ja-JP" altLang="ja-JP" sz="1100">
              <a:effectLst/>
              <a:latin typeface="+mn-lt"/>
              <a:ea typeface="+mn-ea"/>
              <a:cs typeface="+mn-cs"/>
            </a:rPr>
            <a:t>✔を入れてください。</a:t>
          </a:r>
          <a:r>
            <a:rPr lang="en-US" altLang="ja-JP" sz="1100">
              <a:effectLst/>
              <a:latin typeface="+mn-lt"/>
              <a:ea typeface="+mn-ea"/>
              <a:cs typeface="+mn-cs"/>
            </a:rPr>
            <a:t>(</a:t>
          </a:r>
          <a:r>
            <a:rPr lang="ja-JP" altLang="ja-JP" sz="1100">
              <a:effectLst/>
              <a:latin typeface="+mn-lt"/>
              <a:ea typeface="+mn-ea"/>
              <a:cs typeface="+mn-cs"/>
            </a:rPr>
            <a:t>クリックで✔が入ります</a:t>
          </a:r>
          <a:r>
            <a:rPr lang="en-US" altLang="ja-JP" sz="1100">
              <a:effectLst/>
              <a:latin typeface="+mn-lt"/>
              <a:ea typeface="+mn-ea"/>
              <a:cs typeface="+mn-cs"/>
            </a:rPr>
            <a:t>)</a:t>
          </a:r>
          <a:r>
            <a:rPr lang="ja-JP" altLang="en-US" sz="1100">
              <a:effectLst/>
              <a:latin typeface="+mn-lt"/>
              <a:ea typeface="+mn-ea"/>
              <a:cs typeface="+mn-cs"/>
            </a:rPr>
            <a:t>　</a:t>
          </a:r>
          <a:endParaRPr lang="en-US" altLang="ja-JP" sz="1100">
            <a:effectLst/>
            <a:latin typeface="+mn-lt"/>
            <a:ea typeface="+mn-ea"/>
            <a:cs typeface="+mn-cs"/>
          </a:endParaRPr>
        </a:p>
        <a:p>
          <a:pPr rtl="0"/>
          <a:r>
            <a:rPr lang="ja-JP" altLang="en-US" sz="1100">
              <a:effectLst/>
              <a:latin typeface="+mn-lt"/>
              <a:ea typeface="+mn-ea"/>
              <a:cs typeface="+mn-cs"/>
            </a:rPr>
            <a:t>その際は</a:t>
          </a:r>
          <a:r>
            <a:rPr lang="ja-JP" altLang="en-US" sz="1100" b="0" i="0" u="none" strike="noStrike" baseline="0">
              <a:solidFill>
                <a:srgbClr val="000000"/>
              </a:solidFill>
              <a:latin typeface="ＭＳ Ｐゴシック"/>
              <a:ea typeface="ＭＳ Ｐゴシック"/>
            </a:rPr>
            <a:t>不使用証明書リストのご提出をお願い致します。</a:t>
          </a:r>
        </a:p>
      </xdr:txBody>
    </xdr:sp>
    <xdr:clientData/>
  </xdr:oneCellAnchor>
  <xdr:twoCellAnchor>
    <xdr:from>
      <xdr:col>4</xdr:col>
      <xdr:colOff>57146</xdr:colOff>
      <xdr:row>53</xdr:row>
      <xdr:rowOff>171446</xdr:rowOff>
    </xdr:from>
    <xdr:to>
      <xdr:col>6</xdr:col>
      <xdr:colOff>47624</xdr:colOff>
      <xdr:row>56</xdr:row>
      <xdr:rowOff>147637</xdr:rowOff>
    </xdr:to>
    <xdr:sp macro="" textlink="">
      <xdr:nvSpPr>
        <xdr:cNvPr id="62" name="Line 23">
          <a:extLst>
            <a:ext uri="{FF2B5EF4-FFF2-40B4-BE49-F238E27FC236}">
              <a16:creationId xmlns:a16="http://schemas.microsoft.com/office/drawing/2014/main" id="{00000000-0008-0000-0200-000070000000}"/>
            </a:ext>
          </a:extLst>
        </xdr:cNvPr>
        <xdr:cNvSpPr>
          <a:spLocks noChangeShapeType="1"/>
        </xdr:cNvSpPr>
      </xdr:nvSpPr>
      <xdr:spPr bwMode="auto">
        <a:xfrm flipH="1" flipV="1">
          <a:off x="866771" y="11839571"/>
          <a:ext cx="466728" cy="476254"/>
        </a:xfrm>
        <a:prstGeom prst="line">
          <a:avLst/>
        </a:prstGeom>
        <a:noFill/>
        <a:ln w="15875">
          <a:solidFill>
            <a:srgbClr val="FF6600"/>
          </a:solidFill>
          <a:round/>
          <a:headEnd/>
          <a:tailEnd type="triangle" w="med" len="med"/>
        </a:ln>
      </xdr:spPr>
    </xdr:sp>
    <xdr:clientData/>
  </xdr:twoCellAnchor>
  <xdr:twoCellAnchor>
    <xdr:from>
      <xdr:col>1</xdr:col>
      <xdr:colOff>155575</xdr:colOff>
      <xdr:row>52</xdr:row>
      <xdr:rowOff>74614</xdr:rowOff>
    </xdr:from>
    <xdr:to>
      <xdr:col>4</xdr:col>
      <xdr:colOff>22225</xdr:colOff>
      <xdr:row>54</xdr:row>
      <xdr:rowOff>50802</xdr:rowOff>
    </xdr:to>
    <xdr:sp macro="" textlink="">
      <xdr:nvSpPr>
        <xdr:cNvPr id="63" name="AutoShape 3">
          <a:extLst>
            <a:ext uri="{FF2B5EF4-FFF2-40B4-BE49-F238E27FC236}">
              <a16:creationId xmlns:a16="http://schemas.microsoft.com/office/drawing/2014/main" id="{00000000-0008-0000-0200-000071000000}"/>
            </a:ext>
          </a:extLst>
        </xdr:cNvPr>
        <xdr:cNvSpPr>
          <a:spLocks noChangeArrowheads="1"/>
        </xdr:cNvSpPr>
      </xdr:nvSpPr>
      <xdr:spPr bwMode="auto">
        <a:xfrm>
          <a:off x="250825" y="11623677"/>
          <a:ext cx="581025" cy="285750"/>
        </a:xfrm>
        <a:prstGeom prst="roundRect">
          <a:avLst>
            <a:gd name="adj" fmla="val 16667"/>
          </a:avLst>
        </a:prstGeom>
        <a:noFill/>
        <a:ln w="15875" algn="ctr">
          <a:solidFill>
            <a:srgbClr val="FF6600"/>
          </a:solidFill>
          <a:round/>
          <a:headEnd/>
          <a:tailEnd/>
        </a:ln>
      </xdr:spPr>
    </xdr:sp>
    <xdr:clientData/>
  </xdr:twoCellAnchor>
  <xdr:twoCellAnchor>
    <xdr:from>
      <xdr:col>4</xdr:col>
      <xdr:colOff>0</xdr:colOff>
      <xdr:row>60</xdr:row>
      <xdr:rowOff>204787</xdr:rowOff>
    </xdr:from>
    <xdr:to>
      <xdr:col>5</xdr:col>
      <xdr:colOff>190500</xdr:colOff>
      <xdr:row>62</xdr:row>
      <xdr:rowOff>80962</xdr:rowOff>
    </xdr:to>
    <xdr:sp macro="" textlink="">
      <xdr:nvSpPr>
        <xdr:cNvPr id="64" name="Line 23">
          <a:extLst>
            <a:ext uri="{FF2B5EF4-FFF2-40B4-BE49-F238E27FC236}">
              <a16:creationId xmlns:a16="http://schemas.microsoft.com/office/drawing/2014/main" id="{00000000-0008-0000-0200-000076000000}"/>
            </a:ext>
          </a:extLst>
        </xdr:cNvPr>
        <xdr:cNvSpPr>
          <a:spLocks noChangeShapeType="1"/>
        </xdr:cNvSpPr>
      </xdr:nvSpPr>
      <xdr:spPr bwMode="auto">
        <a:xfrm flipH="1">
          <a:off x="809625" y="12992100"/>
          <a:ext cx="428625" cy="304800"/>
        </a:xfrm>
        <a:prstGeom prst="line">
          <a:avLst/>
        </a:prstGeom>
        <a:noFill/>
        <a:ln w="15875">
          <a:solidFill>
            <a:srgbClr val="FF6600"/>
          </a:solidFill>
          <a:round/>
          <a:headEnd/>
          <a:tailEnd type="triangle" w="med" len="med"/>
        </a:ln>
      </xdr:spPr>
    </xdr:sp>
    <xdr:clientData/>
  </xdr:twoCellAnchor>
  <xdr:twoCellAnchor>
    <xdr:from>
      <xdr:col>1</xdr:col>
      <xdr:colOff>114300</xdr:colOff>
      <xdr:row>10</xdr:row>
      <xdr:rowOff>171451</xdr:rowOff>
    </xdr:from>
    <xdr:to>
      <xdr:col>26</xdr:col>
      <xdr:colOff>60325</xdr:colOff>
      <xdr:row>12</xdr:row>
      <xdr:rowOff>44451</xdr:rowOff>
    </xdr:to>
    <xdr:sp macro="" textlink="">
      <xdr:nvSpPr>
        <xdr:cNvPr id="65" name="AutoShape 3">
          <a:extLst>
            <a:ext uri="{FF2B5EF4-FFF2-40B4-BE49-F238E27FC236}">
              <a16:creationId xmlns:a16="http://schemas.microsoft.com/office/drawing/2014/main" id="{00000000-0008-0000-0200-000020000000}"/>
            </a:ext>
          </a:extLst>
        </xdr:cNvPr>
        <xdr:cNvSpPr>
          <a:spLocks noChangeArrowheads="1"/>
        </xdr:cNvSpPr>
      </xdr:nvSpPr>
      <xdr:spPr bwMode="auto">
        <a:xfrm>
          <a:off x="200025" y="2790826"/>
          <a:ext cx="5899150" cy="311150"/>
        </a:xfrm>
        <a:prstGeom prst="roundRect">
          <a:avLst>
            <a:gd name="adj" fmla="val 16667"/>
          </a:avLst>
        </a:prstGeom>
        <a:noFill/>
        <a:ln w="15875" algn="ctr">
          <a:solidFill>
            <a:srgbClr val="FF6600"/>
          </a:solidFill>
          <a:round/>
          <a:headEnd/>
          <a:tailEnd/>
        </a:ln>
      </xdr:spPr>
    </xdr:sp>
    <xdr:clientData/>
  </xdr:twoCellAnchor>
  <xdr:twoCellAnchor>
    <xdr:from>
      <xdr:col>14</xdr:col>
      <xdr:colOff>146048</xdr:colOff>
      <xdr:row>12</xdr:row>
      <xdr:rowOff>63499</xdr:rowOff>
    </xdr:from>
    <xdr:to>
      <xdr:col>20</xdr:col>
      <xdr:colOff>222249</xdr:colOff>
      <xdr:row>13</xdr:row>
      <xdr:rowOff>122237</xdr:rowOff>
    </xdr:to>
    <xdr:sp macro="" textlink="">
      <xdr:nvSpPr>
        <xdr:cNvPr id="66" name="Line 23">
          <a:extLst>
            <a:ext uri="{FF2B5EF4-FFF2-40B4-BE49-F238E27FC236}">
              <a16:creationId xmlns:a16="http://schemas.microsoft.com/office/drawing/2014/main" id="{00000000-0008-0000-0200-000021000000}"/>
            </a:ext>
          </a:extLst>
        </xdr:cNvPr>
        <xdr:cNvSpPr>
          <a:spLocks noChangeShapeType="1"/>
        </xdr:cNvSpPr>
      </xdr:nvSpPr>
      <xdr:spPr bwMode="auto">
        <a:xfrm flipH="1" flipV="1">
          <a:off x="3336923" y="3135312"/>
          <a:ext cx="1504951" cy="273050"/>
        </a:xfrm>
        <a:prstGeom prst="line">
          <a:avLst/>
        </a:prstGeom>
        <a:noFill/>
        <a:ln w="15875">
          <a:solidFill>
            <a:srgbClr val="FF6600"/>
          </a:solidFill>
          <a:round/>
          <a:headEnd/>
          <a:tailEnd type="triangle" w="med" len="med"/>
        </a:ln>
      </xdr:spPr>
    </xdr:sp>
    <xdr:clientData/>
  </xdr:twoCellAnchor>
  <xdr:oneCellAnchor>
    <xdr:from>
      <xdr:col>21</xdr:col>
      <xdr:colOff>1</xdr:colOff>
      <xdr:row>13</xdr:row>
      <xdr:rowOff>17463</xdr:rowOff>
    </xdr:from>
    <xdr:ext cx="1546224" cy="238125"/>
    <xdr:sp macro="" textlink="">
      <xdr:nvSpPr>
        <xdr:cNvPr id="67" name="AutoShape 9">
          <a:extLst>
            <a:ext uri="{FF2B5EF4-FFF2-40B4-BE49-F238E27FC236}">
              <a16:creationId xmlns:a16="http://schemas.microsoft.com/office/drawing/2014/main" id="{00000000-0008-0000-0200-000022000000}"/>
            </a:ext>
          </a:extLst>
        </xdr:cNvPr>
        <xdr:cNvSpPr>
          <a:spLocks noChangeArrowheads="1"/>
        </xdr:cNvSpPr>
      </xdr:nvSpPr>
      <xdr:spPr bwMode="auto">
        <a:xfrm>
          <a:off x="4848226" y="3284538"/>
          <a:ext cx="1546224" cy="238125"/>
        </a:xfrm>
        <a:prstGeom prst="roundRect">
          <a:avLst>
            <a:gd name="adj" fmla="val 16667"/>
          </a:avLst>
        </a:prstGeom>
        <a:solidFill>
          <a:schemeClr val="accent5">
            <a:lumMod val="40000"/>
            <a:lumOff val="60000"/>
          </a:schemeClr>
        </a:solidFill>
        <a:ln w="15875" algn="ctr">
          <a:solidFill>
            <a:srgbClr val="FF6600"/>
          </a:solidFill>
          <a:round/>
          <a:headEnd/>
          <a:tailEnd/>
        </a:ln>
        <a:effectLst/>
      </xdr:spPr>
      <xdr:txBody>
        <a:bodyPr wrap="square" lIns="18288" tIns="18288" rIns="0" bIns="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言語を選択ください</a:t>
          </a:r>
        </a:p>
      </xdr:txBody>
    </xdr:sp>
    <xdr:clientData/>
  </xdr:oneCellAnchor>
  <xdr:oneCellAnchor>
    <xdr:from>
      <xdr:col>21</xdr:col>
      <xdr:colOff>28575</xdr:colOff>
      <xdr:row>8</xdr:row>
      <xdr:rowOff>147638</xdr:rowOff>
    </xdr:from>
    <xdr:ext cx="3286125" cy="504825"/>
    <xdr:sp macro="" textlink="">
      <xdr:nvSpPr>
        <xdr:cNvPr id="68" name="AutoShape 24">
          <a:extLst>
            <a:ext uri="{FF2B5EF4-FFF2-40B4-BE49-F238E27FC236}">
              <a16:creationId xmlns:a16="http://schemas.microsoft.com/office/drawing/2014/main" id="{00000000-0008-0000-0200-000060000000}"/>
            </a:ext>
          </a:extLst>
        </xdr:cNvPr>
        <xdr:cNvSpPr>
          <a:spLocks noChangeArrowheads="1"/>
        </xdr:cNvSpPr>
      </xdr:nvSpPr>
      <xdr:spPr bwMode="auto">
        <a:xfrm>
          <a:off x="4886325" y="2052638"/>
          <a:ext cx="3286125" cy="504825"/>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sz="1100" b="0" i="0" baseline="0">
              <a:solidFill>
                <a:sysClr val="windowText" lastClr="000000"/>
              </a:solidFill>
              <a:effectLst/>
              <a:latin typeface="+mn-lt"/>
              <a:ea typeface="+mn-ea"/>
              <a:cs typeface="+mn-cs"/>
            </a:rPr>
            <a:t>ミネベアミツミグループにて操作する箇所になります。</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お取引様にて、変更しないでください。</a:t>
          </a:r>
          <a:endParaRPr lang="ja-JP" altLang="ja-JP">
            <a:solidFill>
              <a:sysClr val="windowText" lastClr="000000"/>
            </a:solidFill>
            <a:effectLst/>
          </a:endParaRPr>
        </a:p>
      </xdr:txBody>
    </xdr:sp>
    <xdr:clientData/>
  </xdr:oneCellAnchor>
  <xdr:twoCellAnchor>
    <xdr:from>
      <xdr:col>25</xdr:col>
      <xdr:colOff>38098</xdr:colOff>
      <xdr:row>6</xdr:row>
      <xdr:rowOff>90488</xdr:rowOff>
    </xdr:from>
    <xdr:to>
      <xdr:col>27</xdr:col>
      <xdr:colOff>19049</xdr:colOff>
      <xdr:row>8</xdr:row>
      <xdr:rowOff>119062</xdr:rowOff>
    </xdr:to>
    <xdr:sp macro="" textlink="">
      <xdr:nvSpPr>
        <xdr:cNvPr id="69" name="Line 23">
          <a:extLst>
            <a:ext uri="{FF2B5EF4-FFF2-40B4-BE49-F238E27FC236}">
              <a16:creationId xmlns:a16="http://schemas.microsoft.com/office/drawing/2014/main" id="{00000000-0008-0000-0200-000061000000}"/>
            </a:ext>
          </a:extLst>
        </xdr:cNvPr>
        <xdr:cNvSpPr>
          <a:spLocks noChangeShapeType="1"/>
        </xdr:cNvSpPr>
      </xdr:nvSpPr>
      <xdr:spPr bwMode="auto">
        <a:xfrm flipH="1" flipV="1">
          <a:off x="5848348" y="1566863"/>
          <a:ext cx="457201" cy="457199"/>
        </a:xfrm>
        <a:prstGeom prst="line">
          <a:avLst/>
        </a:prstGeom>
        <a:noFill/>
        <a:ln w="15875">
          <a:solidFill>
            <a:srgbClr val="FF6600"/>
          </a:solidFill>
          <a:round/>
          <a:headEnd/>
          <a:tailEnd type="triangle" w="med" len="med"/>
        </a:ln>
      </xdr:spPr>
    </xdr:sp>
    <xdr:clientData/>
  </xdr:twoCellAnchor>
  <xdr:twoCellAnchor>
    <xdr:from>
      <xdr:col>0</xdr:col>
      <xdr:colOff>9525</xdr:colOff>
      <xdr:row>0</xdr:row>
      <xdr:rowOff>119063</xdr:rowOff>
    </xdr:from>
    <xdr:to>
      <xdr:col>32</xdr:col>
      <xdr:colOff>0</xdr:colOff>
      <xdr:row>6</xdr:row>
      <xdr:rowOff>100013</xdr:rowOff>
    </xdr:to>
    <xdr:sp macro="" textlink="">
      <xdr:nvSpPr>
        <xdr:cNvPr id="70" name="AutoShape 3">
          <a:extLst>
            <a:ext uri="{FF2B5EF4-FFF2-40B4-BE49-F238E27FC236}">
              <a16:creationId xmlns:a16="http://schemas.microsoft.com/office/drawing/2014/main" id="{00000000-0008-0000-0200-00005C000000}"/>
            </a:ext>
          </a:extLst>
        </xdr:cNvPr>
        <xdr:cNvSpPr>
          <a:spLocks noChangeArrowheads="1"/>
        </xdr:cNvSpPr>
      </xdr:nvSpPr>
      <xdr:spPr bwMode="auto">
        <a:xfrm>
          <a:off x="9525" y="119063"/>
          <a:ext cx="7515225" cy="1457325"/>
        </a:xfrm>
        <a:prstGeom prst="roundRect">
          <a:avLst>
            <a:gd name="adj" fmla="val 16667"/>
          </a:avLst>
        </a:prstGeom>
        <a:noFill/>
        <a:ln w="15875" algn="ctr">
          <a:solidFill>
            <a:srgbClr val="FF6600"/>
          </a:solidFill>
          <a:round/>
          <a:headEnd/>
          <a:tailEnd/>
        </a:ln>
      </xdr:spPr>
    </xdr:sp>
    <xdr:clientData/>
  </xdr:twoCellAnchor>
  <xdr:oneCellAnchor>
    <xdr:from>
      <xdr:col>6</xdr:col>
      <xdr:colOff>200025</xdr:colOff>
      <xdr:row>69</xdr:row>
      <xdr:rowOff>109538</xdr:rowOff>
    </xdr:from>
    <xdr:ext cx="3590925" cy="1114424"/>
    <xdr:sp macro="" textlink="">
      <xdr:nvSpPr>
        <xdr:cNvPr id="71" name="AutoShape 24">
          <a:extLst>
            <a:ext uri="{FF2B5EF4-FFF2-40B4-BE49-F238E27FC236}">
              <a16:creationId xmlns:a16="http://schemas.microsoft.com/office/drawing/2014/main" id="{00000000-0008-0000-0200-000073000000}"/>
            </a:ext>
          </a:extLst>
        </xdr:cNvPr>
        <xdr:cNvSpPr>
          <a:spLocks noChangeArrowheads="1"/>
        </xdr:cNvSpPr>
      </xdr:nvSpPr>
      <xdr:spPr bwMode="auto">
        <a:xfrm>
          <a:off x="1485900" y="14920913"/>
          <a:ext cx="3590925" cy="1114424"/>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ja-JP" sz="1100" b="1">
              <a:effectLst/>
              <a:latin typeface="+mn-lt"/>
              <a:ea typeface="+mn-ea"/>
              <a:cs typeface="+mn-cs"/>
            </a:rPr>
            <a:t>適合する</a:t>
          </a:r>
          <a:r>
            <a:rPr lang="ja-JP" altLang="ja-JP" sz="1100">
              <a:effectLst/>
              <a:latin typeface="+mn-lt"/>
              <a:ea typeface="+mn-ea"/>
              <a:cs typeface="+mn-cs"/>
            </a:rPr>
            <a:t>場合は「○」の記入をお願い致します。</a:t>
          </a:r>
          <a:endParaRPr lang="ja-JP" altLang="ja-JP">
            <a:effectLst/>
          </a:endParaRPr>
        </a:p>
        <a:p>
          <a:pPr rtl="0"/>
          <a:r>
            <a:rPr lang="ja-JP" altLang="ja-JP" sz="1100">
              <a:effectLst/>
              <a:latin typeface="+mn-lt"/>
              <a:ea typeface="+mn-ea"/>
              <a:cs typeface="+mn-cs"/>
            </a:rPr>
            <a:t>尚、適用除外用途で意図的に</a:t>
          </a:r>
          <a:r>
            <a:rPr lang="ja-JP" altLang="ja-JP" sz="1100" b="1">
              <a:effectLst/>
              <a:latin typeface="+mn-lt"/>
              <a:ea typeface="+mn-ea"/>
              <a:cs typeface="+mn-cs"/>
            </a:rPr>
            <a:t>使用</a:t>
          </a:r>
          <a:r>
            <a:rPr lang="en-US" altLang="ja-JP" sz="1100" b="1">
              <a:effectLst/>
              <a:latin typeface="+mn-lt"/>
              <a:ea typeface="+mn-ea"/>
              <a:cs typeface="+mn-cs"/>
            </a:rPr>
            <a:t>/</a:t>
          </a:r>
          <a:r>
            <a:rPr lang="ja-JP" altLang="ja-JP" sz="1100">
              <a:effectLst/>
              <a:latin typeface="+mn-lt"/>
              <a:ea typeface="+mn-ea"/>
              <a:cs typeface="+mn-cs"/>
            </a:rPr>
            <a:t>含有している場合も</a:t>
          </a:r>
          <a:endParaRPr lang="ja-JP" altLang="ja-JP">
            <a:effectLst/>
          </a:endParaRPr>
        </a:p>
        <a:p>
          <a:pPr rtl="0"/>
          <a:r>
            <a:rPr lang="ja-JP" altLang="ja-JP" sz="1100" b="1">
              <a:effectLst/>
              <a:latin typeface="+mn-lt"/>
              <a:ea typeface="+mn-ea"/>
              <a:cs typeface="+mn-cs"/>
            </a:rPr>
            <a:t>適合</a:t>
          </a:r>
          <a:r>
            <a:rPr lang="ja-JP" altLang="ja-JP" sz="1100">
              <a:effectLst/>
              <a:latin typeface="+mn-lt"/>
              <a:ea typeface="+mn-ea"/>
              <a:cs typeface="+mn-cs"/>
            </a:rPr>
            <a:t>とし、「○」の記入をお願い致します。</a:t>
          </a:r>
          <a:endParaRPr lang="ja-JP" altLang="ja-JP">
            <a:effectLst/>
          </a:endParaRPr>
        </a:p>
        <a:p>
          <a:pPr rtl="0"/>
          <a:r>
            <a:rPr lang="ja-JP" altLang="ja-JP" sz="1100">
              <a:effectLst/>
              <a:latin typeface="+mn-lt"/>
              <a:ea typeface="+mn-ea"/>
              <a:cs typeface="+mn-cs"/>
            </a:rPr>
            <a:t>規制対象以外の用途で</a:t>
          </a:r>
          <a:r>
            <a:rPr lang="ja-JP" altLang="ja-JP" sz="1100" b="1">
              <a:effectLst/>
              <a:latin typeface="+mn-lt"/>
              <a:ea typeface="+mn-ea"/>
              <a:cs typeface="+mn-cs"/>
            </a:rPr>
            <a:t>使用</a:t>
          </a:r>
          <a:r>
            <a:rPr lang="en-US" altLang="ja-JP" sz="1100" b="1">
              <a:effectLst/>
              <a:latin typeface="+mn-lt"/>
              <a:ea typeface="+mn-ea"/>
              <a:cs typeface="+mn-cs"/>
            </a:rPr>
            <a:t>/</a:t>
          </a:r>
          <a:r>
            <a:rPr lang="ja-JP" altLang="ja-JP" sz="1100">
              <a:effectLst/>
              <a:latin typeface="+mn-lt"/>
              <a:ea typeface="+mn-ea"/>
              <a:cs typeface="+mn-cs"/>
            </a:rPr>
            <a:t>含有がある場合も</a:t>
          </a:r>
          <a:r>
            <a:rPr lang="ja-JP" altLang="ja-JP" sz="1100" b="1">
              <a:effectLst/>
              <a:latin typeface="+mn-lt"/>
              <a:ea typeface="+mn-ea"/>
              <a:cs typeface="+mn-cs"/>
            </a:rPr>
            <a:t>適合</a:t>
          </a:r>
          <a:r>
            <a:rPr lang="ja-JP" altLang="ja-JP" sz="1100">
              <a:effectLst/>
              <a:latin typeface="+mn-lt"/>
              <a:ea typeface="+mn-ea"/>
              <a:cs typeface="+mn-cs"/>
            </a:rPr>
            <a:t>とし、</a:t>
          </a:r>
          <a:endParaRPr lang="ja-JP" altLang="ja-JP">
            <a:effectLst/>
          </a:endParaRPr>
        </a:p>
        <a:p>
          <a:pPr rtl="0"/>
          <a:r>
            <a:rPr lang="ja-JP" altLang="ja-JP" sz="1100">
              <a:effectLst/>
              <a:latin typeface="+mn-lt"/>
              <a:ea typeface="+mn-ea"/>
              <a:cs typeface="+mn-cs"/>
            </a:rPr>
            <a:t>「○」の記入をお願い致します。</a:t>
          </a:r>
          <a:endParaRPr lang="ja-JP" altLang="ja-JP">
            <a:effectLst/>
          </a:endParaRPr>
        </a:p>
      </xdr:txBody>
    </xdr:sp>
    <xdr:clientData/>
  </xdr:oneCellAnchor>
  <xdr:twoCellAnchor>
    <xdr:from>
      <xdr:col>21</xdr:col>
      <xdr:colOff>225426</xdr:colOff>
      <xdr:row>72</xdr:row>
      <xdr:rowOff>180973</xdr:rowOff>
    </xdr:from>
    <xdr:to>
      <xdr:col>27</xdr:col>
      <xdr:colOff>171450</xdr:colOff>
      <xdr:row>74</xdr:row>
      <xdr:rowOff>9524</xdr:rowOff>
    </xdr:to>
    <xdr:sp macro="" textlink="">
      <xdr:nvSpPr>
        <xdr:cNvPr id="72" name="Line 23">
          <a:extLst>
            <a:ext uri="{FF2B5EF4-FFF2-40B4-BE49-F238E27FC236}">
              <a16:creationId xmlns:a16="http://schemas.microsoft.com/office/drawing/2014/main" id="{00000000-0008-0000-0200-000074000000}"/>
            </a:ext>
          </a:extLst>
        </xdr:cNvPr>
        <xdr:cNvSpPr>
          <a:spLocks noChangeShapeType="1"/>
        </xdr:cNvSpPr>
      </xdr:nvSpPr>
      <xdr:spPr bwMode="auto">
        <a:xfrm>
          <a:off x="5083176" y="15444786"/>
          <a:ext cx="1374774" cy="257176"/>
        </a:xfrm>
        <a:prstGeom prst="line">
          <a:avLst/>
        </a:prstGeom>
        <a:noFill/>
        <a:ln w="15875">
          <a:solidFill>
            <a:srgbClr val="FF6600"/>
          </a:solidFill>
          <a:round/>
          <a:headEnd/>
          <a:tailEnd type="triangle" w="med" len="med"/>
        </a:ln>
      </xdr:spPr>
    </xdr:sp>
    <xdr:clientData/>
  </xdr:twoCellAnchor>
  <xdr:oneCellAnchor>
    <xdr:from>
      <xdr:col>3</xdr:col>
      <xdr:colOff>171450</xdr:colOff>
      <xdr:row>38</xdr:row>
      <xdr:rowOff>109538</xdr:rowOff>
    </xdr:from>
    <xdr:ext cx="5753100" cy="476250"/>
    <xdr:sp macro="" textlink="">
      <xdr:nvSpPr>
        <xdr:cNvPr id="73" name="AutoShape 24">
          <a:extLst>
            <a:ext uri="{FF2B5EF4-FFF2-40B4-BE49-F238E27FC236}">
              <a16:creationId xmlns:a16="http://schemas.microsoft.com/office/drawing/2014/main" id="{00000000-0008-0000-0200-000065000000}"/>
            </a:ext>
          </a:extLst>
        </xdr:cNvPr>
        <xdr:cNvSpPr>
          <a:spLocks noChangeArrowheads="1"/>
        </xdr:cNvSpPr>
      </xdr:nvSpPr>
      <xdr:spPr bwMode="auto">
        <a:xfrm>
          <a:off x="733425" y="8662988"/>
          <a:ext cx="5753100" cy="47625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a:solidFill>
                <a:sysClr val="windowText" lastClr="000000"/>
              </a:solidFill>
              <a:effectLst/>
            </a:rPr>
            <a:t>別紙</a:t>
          </a:r>
          <a:r>
            <a:rPr lang="en-US" altLang="ja-JP">
              <a:solidFill>
                <a:sysClr val="windowText" lastClr="000000"/>
              </a:solidFill>
              <a:effectLst/>
            </a:rPr>
            <a:t>1</a:t>
          </a:r>
          <a:r>
            <a:rPr lang="ja-JP" altLang="en-US">
              <a:solidFill>
                <a:sysClr val="windowText" lastClr="000000"/>
              </a:solidFill>
              <a:effectLst/>
            </a:rPr>
            <a:t>を用いた顧客要求禁止物質の指定がないため、別紙</a:t>
          </a:r>
          <a:r>
            <a:rPr lang="en-US" altLang="ja-JP">
              <a:solidFill>
                <a:sysClr val="windowText" lastClr="000000"/>
              </a:solidFill>
              <a:effectLst/>
            </a:rPr>
            <a:t>1</a:t>
          </a:r>
          <a:r>
            <a:rPr lang="ja-JP" altLang="en-US">
              <a:solidFill>
                <a:sysClr val="windowText" lastClr="000000"/>
              </a:solidFill>
              <a:effectLst/>
            </a:rPr>
            <a:t>の添付をしないことを示しています。</a:t>
          </a:r>
          <a:endParaRPr lang="en-US" altLang="ja-JP">
            <a:solidFill>
              <a:sysClr val="windowText" lastClr="000000"/>
            </a:solidFill>
            <a:effectLst/>
          </a:endParaRPr>
        </a:p>
        <a:p>
          <a:pPr rtl="0"/>
          <a:r>
            <a:rPr lang="ja-JP" altLang="en-US">
              <a:solidFill>
                <a:sysClr val="windowText" lastClr="000000"/>
              </a:solidFill>
              <a:effectLst/>
            </a:rPr>
            <a:t>別紙</a:t>
          </a:r>
          <a:r>
            <a:rPr lang="en-US" altLang="ja-JP">
              <a:solidFill>
                <a:sysClr val="windowText" lastClr="000000"/>
              </a:solidFill>
              <a:effectLst/>
            </a:rPr>
            <a:t>1</a:t>
          </a:r>
          <a:r>
            <a:rPr lang="ja-JP" altLang="en-US">
              <a:solidFill>
                <a:sysClr val="windowText" lastClr="000000"/>
              </a:solidFill>
              <a:effectLst/>
            </a:rPr>
            <a:t>に相当するその他の依頼書の有無を示したものではありません。</a:t>
          </a:r>
          <a:endParaRPr lang="ja-JP" altLang="ja-JP">
            <a:solidFill>
              <a:sysClr val="windowText" lastClr="000000"/>
            </a:solidFill>
            <a:effectLst/>
          </a:endParaRPr>
        </a:p>
      </xdr:txBody>
    </xdr:sp>
    <xdr:clientData/>
  </xdr:oneCellAnchor>
  <xdr:twoCellAnchor>
    <xdr:from>
      <xdr:col>5</xdr:col>
      <xdr:colOff>168272</xdr:colOff>
      <xdr:row>41</xdr:row>
      <xdr:rowOff>61912</xdr:rowOff>
    </xdr:from>
    <xdr:to>
      <xdr:col>8</xdr:col>
      <xdr:colOff>158750</xdr:colOff>
      <xdr:row>42</xdr:row>
      <xdr:rowOff>52387</xdr:rowOff>
    </xdr:to>
    <xdr:sp macro="" textlink="">
      <xdr:nvSpPr>
        <xdr:cNvPr id="74" name="Line 23">
          <a:extLst>
            <a:ext uri="{FF2B5EF4-FFF2-40B4-BE49-F238E27FC236}">
              <a16:creationId xmlns:a16="http://schemas.microsoft.com/office/drawing/2014/main" id="{00000000-0008-0000-0200-000066000000}"/>
            </a:ext>
          </a:extLst>
        </xdr:cNvPr>
        <xdr:cNvSpPr>
          <a:spLocks noChangeShapeType="1"/>
        </xdr:cNvSpPr>
      </xdr:nvSpPr>
      <xdr:spPr bwMode="auto">
        <a:xfrm flipH="1">
          <a:off x="1206497" y="9158287"/>
          <a:ext cx="704853" cy="171450"/>
        </a:xfrm>
        <a:prstGeom prst="line">
          <a:avLst/>
        </a:prstGeom>
        <a:noFill/>
        <a:ln w="15875">
          <a:solidFill>
            <a:srgbClr val="FF6600"/>
          </a:solidFill>
          <a:round/>
          <a:headEnd/>
          <a:tailEnd type="triangle" w="med" len="med"/>
        </a:ln>
      </xdr:spPr>
    </xdr:sp>
    <xdr:clientData/>
  </xdr:twoCellAnchor>
  <xdr:twoCellAnchor>
    <xdr:from>
      <xdr:col>27</xdr:col>
      <xdr:colOff>228600</xdr:colOff>
      <xdr:row>73</xdr:row>
      <xdr:rowOff>169334</xdr:rowOff>
    </xdr:from>
    <xdr:to>
      <xdr:col>31</xdr:col>
      <xdr:colOff>40218</xdr:colOff>
      <xdr:row>180</xdr:row>
      <xdr:rowOff>38100</xdr:rowOff>
    </xdr:to>
    <xdr:sp macro="" textlink="">
      <xdr:nvSpPr>
        <xdr:cNvPr id="75" name="AutoShape 3">
          <a:extLst>
            <a:ext uri="{FF2B5EF4-FFF2-40B4-BE49-F238E27FC236}">
              <a16:creationId xmlns:a16="http://schemas.microsoft.com/office/drawing/2014/main" id="{00000000-0008-0000-0200-000072000000}"/>
            </a:ext>
          </a:extLst>
        </xdr:cNvPr>
        <xdr:cNvSpPr>
          <a:spLocks noChangeArrowheads="1"/>
        </xdr:cNvSpPr>
      </xdr:nvSpPr>
      <xdr:spPr bwMode="auto">
        <a:xfrm>
          <a:off x="6505575" y="15723659"/>
          <a:ext cx="954618" cy="45169666"/>
        </a:xfrm>
        <a:prstGeom prst="roundRect">
          <a:avLst>
            <a:gd name="adj" fmla="val 16667"/>
          </a:avLst>
        </a:prstGeom>
        <a:noFill/>
        <a:ln w="15875" algn="ctr">
          <a:solidFill>
            <a:srgbClr val="FF66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129540</xdr:colOff>
          <xdr:row>52</xdr:row>
          <xdr:rowOff>106680</xdr:rowOff>
        </xdr:from>
        <xdr:to>
          <xdr:col>5</xdr:col>
          <xdr:colOff>190500</xdr:colOff>
          <xdr:row>54</xdr:row>
          <xdr:rowOff>30480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55</xdr:row>
          <xdr:rowOff>182880</xdr:rowOff>
        </xdr:from>
        <xdr:to>
          <xdr:col>5</xdr:col>
          <xdr:colOff>205740</xdr:colOff>
          <xdr:row>57</xdr:row>
          <xdr:rowOff>30480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57</xdr:row>
          <xdr:rowOff>106680</xdr:rowOff>
        </xdr:from>
        <xdr:to>
          <xdr:col>5</xdr:col>
          <xdr:colOff>190500</xdr:colOff>
          <xdr:row>59</xdr:row>
          <xdr:rowOff>30480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219075</xdr:colOff>
      <xdr:row>18</xdr:row>
      <xdr:rowOff>76200</xdr:rowOff>
    </xdr:from>
    <xdr:ext cx="5581650" cy="438150"/>
    <xdr:sp macro="" textlink="">
      <xdr:nvSpPr>
        <xdr:cNvPr id="81" name="AutoShape 24"/>
        <xdr:cNvSpPr>
          <a:spLocks noChangeArrowheads="1"/>
        </xdr:cNvSpPr>
      </xdr:nvSpPr>
      <xdr:spPr bwMode="auto">
        <a:xfrm>
          <a:off x="1019175" y="4724400"/>
          <a:ext cx="5581650" cy="43815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sz="1100" b="0" i="0" baseline="0">
              <a:effectLst/>
              <a:latin typeface="+mn-lt"/>
              <a:ea typeface="+mn-ea"/>
              <a:cs typeface="+mn-cs"/>
            </a:rPr>
            <a:t>上段：お取引に応じ、ミツミ電機株式会社かミネベアミツミ株式会社を記入ください。</a:t>
          </a:r>
          <a:endParaRPr lang="en-US" altLang="ja-JP" sz="1100" b="0" i="0" baseline="0">
            <a:effectLst/>
            <a:latin typeface="+mn-lt"/>
            <a:ea typeface="+mn-ea"/>
            <a:cs typeface="+mn-cs"/>
          </a:endParaRPr>
        </a:p>
        <a:p>
          <a:pPr rtl="0"/>
          <a:r>
            <a:rPr lang="ja-JP" altLang="en-US" sz="1100" b="0" i="0" baseline="0">
              <a:effectLst/>
              <a:latin typeface="+mn-lt"/>
              <a:ea typeface="+mn-ea"/>
              <a:cs typeface="+mn-cs"/>
            </a:rPr>
            <a:t>下段：ミネベアミツミグループの事業本部 、事業部を記入ください。　</a:t>
          </a:r>
          <a:endParaRPr lang="ja-JP" altLang="ja-JP">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xdr:colOff>
      <xdr:row>22</xdr:row>
      <xdr:rowOff>134938</xdr:rowOff>
    </xdr:from>
    <xdr:to>
      <xdr:col>14</xdr:col>
      <xdr:colOff>231775</xdr:colOff>
      <xdr:row>24</xdr:row>
      <xdr:rowOff>233363</xdr:rowOff>
    </xdr:to>
    <xdr:sp macro="" textlink="">
      <xdr:nvSpPr>
        <xdr:cNvPr id="2" name="AutoShape 3">
          <a:extLst>
            <a:ext uri="{FF2B5EF4-FFF2-40B4-BE49-F238E27FC236}">
              <a16:creationId xmlns:a16="http://schemas.microsoft.com/office/drawing/2014/main" id="{00000000-0008-0000-0200-00005C000000}"/>
            </a:ext>
          </a:extLst>
        </xdr:cNvPr>
        <xdr:cNvSpPr>
          <a:spLocks noChangeArrowheads="1"/>
        </xdr:cNvSpPr>
      </xdr:nvSpPr>
      <xdr:spPr bwMode="auto">
        <a:xfrm>
          <a:off x="19050" y="5411788"/>
          <a:ext cx="3394075" cy="498475"/>
        </a:xfrm>
        <a:prstGeom prst="roundRect">
          <a:avLst>
            <a:gd name="adj" fmla="val 16667"/>
          </a:avLst>
        </a:prstGeom>
        <a:noFill/>
        <a:ln w="15875" algn="ctr">
          <a:solidFill>
            <a:srgbClr val="FF6600"/>
          </a:solidFill>
          <a:round/>
          <a:headEnd/>
          <a:tailEnd/>
        </a:ln>
      </xdr:spPr>
    </xdr:sp>
    <xdr:clientData/>
  </xdr:twoCellAnchor>
  <xdr:twoCellAnchor>
    <xdr:from>
      <xdr:col>22</xdr:col>
      <xdr:colOff>3175</xdr:colOff>
      <xdr:row>29</xdr:row>
      <xdr:rowOff>231776</xdr:rowOff>
    </xdr:from>
    <xdr:to>
      <xdr:col>31</xdr:col>
      <xdr:colOff>3175</xdr:colOff>
      <xdr:row>31</xdr:row>
      <xdr:rowOff>1</xdr:rowOff>
    </xdr:to>
    <xdr:sp macro="" textlink="">
      <xdr:nvSpPr>
        <xdr:cNvPr id="4" name="AutoShape 3">
          <a:extLst>
            <a:ext uri="{FF2B5EF4-FFF2-40B4-BE49-F238E27FC236}">
              <a16:creationId xmlns:a16="http://schemas.microsoft.com/office/drawing/2014/main" id="{00000000-0008-0000-0200-00005F000000}"/>
            </a:ext>
          </a:extLst>
        </xdr:cNvPr>
        <xdr:cNvSpPr>
          <a:spLocks noChangeArrowheads="1"/>
        </xdr:cNvSpPr>
      </xdr:nvSpPr>
      <xdr:spPr bwMode="auto">
        <a:xfrm>
          <a:off x="5089525" y="7023101"/>
          <a:ext cx="2333625" cy="320675"/>
        </a:xfrm>
        <a:prstGeom prst="roundRect">
          <a:avLst>
            <a:gd name="adj" fmla="val 16667"/>
          </a:avLst>
        </a:prstGeom>
        <a:noFill/>
        <a:ln w="15875" algn="ctr">
          <a:solidFill>
            <a:schemeClr val="accent6">
              <a:lumMod val="75000"/>
            </a:schemeClr>
          </a:solidFill>
          <a:round/>
          <a:headEnd/>
          <a:tailEnd/>
        </a:ln>
      </xdr:spPr>
    </xdr:sp>
    <xdr:clientData/>
  </xdr:twoCellAnchor>
  <xdr:twoCellAnchor>
    <xdr:from>
      <xdr:col>8</xdr:col>
      <xdr:colOff>219074</xdr:colOff>
      <xdr:row>24</xdr:row>
      <xdr:rowOff>228600</xdr:rowOff>
    </xdr:from>
    <xdr:to>
      <xdr:col>18</xdr:col>
      <xdr:colOff>114298</xdr:colOff>
      <xdr:row>26</xdr:row>
      <xdr:rowOff>171450</xdr:rowOff>
    </xdr:to>
    <xdr:sp macro="" textlink="">
      <xdr:nvSpPr>
        <xdr:cNvPr id="6" name="Line 23">
          <a:extLst>
            <a:ext uri="{FF2B5EF4-FFF2-40B4-BE49-F238E27FC236}">
              <a16:creationId xmlns:a16="http://schemas.microsoft.com/office/drawing/2014/main" id="{00000000-0008-0000-0200-000061000000}"/>
            </a:ext>
          </a:extLst>
        </xdr:cNvPr>
        <xdr:cNvSpPr>
          <a:spLocks noChangeShapeType="1"/>
        </xdr:cNvSpPr>
      </xdr:nvSpPr>
      <xdr:spPr bwMode="auto">
        <a:xfrm flipH="1">
          <a:off x="1971674" y="5905500"/>
          <a:ext cx="2276474" cy="314325"/>
        </a:xfrm>
        <a:prstGeom prst="line">
          <a:avLst/>
        </a:prstGeom>
        <a:noFill/>
        <a:ln w="15875">
          <a:solidFill>
            <a:srgbClr val="FF6600"/>
          </a:solidFill>
          <a:round/>
          <a:headEnd/>
          <a:tailEnd type="triangle" w="med" len="med"/>
        </a:ln>
      </xdr:spPr>
    </xdr:sp>
    <xdr:clientData/>
  </xdr:twoCellAnchor>
  <xdr:twoCellAnchor>
    <xdr:from>
      <xdr:col>24</xdr:col>
      <xdr:colOff>30163</xdr:colOff>
      <xdr:row>31</xdr:row>
      <xdr:rowOff>25400</xdr:rowOff>
    </xdr:from>
    <xdr:to>
      <xdr:col>26</xdr:col>
      <xdr:colOff>28575</xdr:colOff>
      <xdr:row>32</xdr:row>
      <xdr:rowOff>106361</xdr:rowOff>
    </xdr:to>
    <xdr:sp macro="" textlink="">
      <xdr:nvSpPr>
        <xdr:cNvPr id="8" name="Line 23">
          <a:extLst>
            <a:ext uri="{FF2B5EF4-FFF2-40B4-BE49-F238E27FC236}">
              <a16:creationId xmlns:a16="http://schemas.microsoft.com/office/drawing/2014/main" id="{00000000-0008-0000-0200-000063000000}"/>
            </a:ext>
          </a:extLst>
        </xdr:cNvPr>
        <xdr:cNvSpPr>
          <a:spLocks noChangeShapeType="1"/>
        </xdr:cNvSpPr>
      </xdr:nvSpPr>
      <xdr:spPr bwMode="auto">
        <a:xfrm flipV="1">
          <a:off x="5592763" y="7369175"/>
          <a:ext cx="474662" cy="204786"/>
        </a:xfrm>
        <a:prstGeom prst="line">
          <a:avLst/>
        </a:prstGeom>
        <a:noFill/>
        <a:ln w="15875">
          <a:solidFill>
            <a:schemeClr val="accent6">
              <a:lumMod val="75000"/>
            </a:schemeClr>
          </a:solidFill>
          <a:round/>
          <a:headEnd/>
          <a:tailEnd type="triangle" w="med" len="med"/>
        </a:ln>
      </xdr:spPr>
    </xdr:sp>
    <xdr:clientData/>
  </xdr:twoCellAnchor>
  <xdr:twoCellAnchor>
    <xdr:from>
      <xdr:col>1</xdr:col>
      <xdr:colOff>204298</xdr:colOff>
      <xdr:row>48</xdr:row>
      <xdr:rowOff>161927</xdr:rowOff>
    </xdr:from>
    <xdr:to>
      <xdr:col>30</xdr:col>
      <xdr:colOff>228600</xdr:colOff>
      <xdr:row>49</xdr:row>
      <xdr:rowOff>279401</xdr:rowOff>
    </xdr:to>
    <xdr:sp macro="" textlink="">
      <xdr:nvSpPr>
        <xdr:cNvPr id="9" name="AutoShape 3">
          <a:extLst>
            <a:ext uri="{FF2B5EF4-FFF2-40B4-BE49-F238E27FC236}">
              <a16:creationId xmlns:a16="http://schemas.microsoft.com/office/drawing/2014/main" id="{00000000-0008-0000-0200-000064000000}"/>
            </a:ext>
          </a:extLst>
        </xdr:cNvPr>
        <xdr:cNvSpPr>
          <a:spLocks noChangeArrowheads="1"/>
        </xdr:cNvSpPr>
      </xdr:nvSpPr>
      <xdr:spPr bwMode="auto">
        <a:xfrm>
          <a:off x="290023" y="10525127"/>
          <a:ext cx="7120427" cy="298449"/>
        </a:xfrm>
        <a:prstGeom prst="roundRect">
          <a:avLst>
            <a:gd name="adj" fmla="val 16667"/>
          </a:avLst>
        </a:prstGeom>
        <a:noFill/>
        <a:ln w="15875" algn="ctr">
          <a:solidFill>
            <a:srgbClr val="FF6600"/>
          </a:solidFill>
          <a:round/>
          <a:headEnd/>
          <a:tailEnd/>
        </a:ln>
      </xdr:spPr>
    </xdr:sp>
    <xdr:clientData/>
  </xdr:twoCellAnchor>
  <xdr:twoCellAnchor>
    <xdr:from>
      <xdr:col>10</xdr:col>
      <xdr:colOff>228596</xdr:colOff>
      <xdr:row>47</xdr:row>
      <xdr:rowOff>71437</xdr:rowOff>
    </xdr:from>
    <xdr:to>
      <xdr:col>13</xdr:col>
      <xdr:colOff>219074</xdr:colOff>
      <xdr:row>48</xdr:row>
      <xdr:rowOff>123825</xdr:rowOff>
    </xdr:to>
    <xdr:sp macro="" textlink="">
      <xdr:nvSpPr>
        <xdr:cNvPr id="11" name="Line 23">
          <a:extLst>
            <a:ext uri="{FF2B5EF4-FFF2-40B4-BE49-F238E27FC236}">
              <a16:creationId xmlns:a16="http://schemas.microsoft.com/office/drawing/2014/main" id="{00000000-0008-0000-0200-000066000000}"/>
            </a:ext>
          </a:extLst>
        </xdr:cNvPr>
        <xdr:cNvSpPr>
          <a:spLocks noChangeShapeType="1"/>
        </xdr:cNvSpPr>
      </xdr:nvSpPr>
      <xdr:spPr bwMode="auto">
        <a:xfrm flipH="1">
          <a:off x="2457446" y="10310812"/>
          <a:ext cx="704853" cy="176213"/>
        </a:xfrm>
        <a:prstGeom prst="line">
          <a:avLst/>
        </a:prstGeom>
        <a:noFill/>
        <a:ln w="15875">
          <a:solidFill>
            <a:srgbClr val="FF6600"/>
          </a:solidFill>
          <a:round/>
          <a:headEnd/>
          <a:tailEnd type="triangle" w="med" len="med"/>
        </a:ln>
      </xdr:spPr>
    </xdr:sp>
    <xdr:clientData/>
  </xdr:twoCellAnchor>
  <xdr:twoCellAnchor>
    <xdr:from>
      <xdr:col>1</xdr:col>
      <xdr:colOff>184151</xdr:colOff>
      <xdr:row>50</xdr:row>
      <xdr:rowOff>19050</xdr:rowOff>
    </xdr:from>
    <xdr:to>
      <xdr:col>31</xdr:col>
      <xdr:colOff>-1</xdr:colOff>
      <xdr:row>52</xdr:row>
      <xdr:rowOff>46038</xdr:rowOff>
    </xdr:to>
    <xdr:sp macro="" textlink="">
      <xdr:nvSpPr>
        <xdr:cNvPr id="12" name="AutoShape 3">
          <a:extLst>
            <a:ext uri="{FF2B5EF4-FFF2-40B4-BE49-F238E27FC236}">
              <a16:creationId xmlns:a16="http://schemas.microsoft.com/office/drawing/2014/main" id="{00000000-0008-0000-0200-000067000000}"/>
            </a:ext>
          </a:extLst>
        </xdr:cNvPr>
        <xdr:cNvSpPr>
          <a:spLocks noChangeArrowheads="1"/>
        </xdr:cNvSpPr>
      </xdr:nvSpPr>
      <xdr:spPr bwMode="auto">
        <a:xfrm>
          <a:off x="269876" y="10868025"/>
          <a:ext cx="7150098" cy="636588"/>
        </a:xfrm>
        <a:prstGeom prst="roundRect">
          <a:avLst>
            <a:gd name="adj" fmla="val 16667"/>
          </a:avLst>
        </a:prstGeom>
        <a:noFill/>
        <a:ln w="15875" algn="ctr">
          <a:solidFill>
            <a:schemeClr val="accent6">
              <a:lumMod val="75000"/>
            </a:schemeClr>
          </a:solidFill>
          <a:round/>
          <a:headEnd/>
          <a:tailEnd/>
        </a:ln>
      </xdr:spPr>
    </xdr:sp>
    <xdr:clientData/>
  </xdr:twoCellAnchor>
  <xdr:twoCellAnchor>
    <xdr:from>
      <xdr:col>15</xdr:col>
      <xdr:colOff>208453</xdr:colOff>
      <xdr:row>51</xdr:row>
      <xdr:rowOff>212725</xdr:rowOff>
    </xdr:from>
    <xdr:to>
      <xdr:col>17</xdr:col>
      <xdr:colOff>25400</xdr:colOff>
      <xdr:row>53</xdr:row>
      <xdr:rowOff>69851</xdr:rowOff>
    </xdr:to>
    <xdr:sp macro="" textlink="">
      <xdr:nvSpPr>
        <xdr:cNvPr id="14" name="Line 23">
          <a:extLst>
            <a:ext uri="{FF2B5EF4-FFF2-40B4-BE49-F238E27FC236}">
              <a16:creationId xmlns:a16="http://schemas.microsoft.com/office/drawing/2014/main" id="{00000000-0008-0000-0200-000069000000}"/>
            </a:ext>
          </a:extLst>
        </xdr:cNvPr>
        <xdr:cNvSpPr>
          <a:spLocks noChangeShapeType="1"/>
        </xdr:cNvSpPr>
      </xdr:nvSpPr>
      <xdr:spPr bwMode="auto">
        <a:xfrm flipH="1" flipV="1">
          <a:off x="3627928" y="11366500"/>
          <a:ext cx="293197" cy="285751"/>
        </a:xfrm>
        <a:prstGeom prst="line">
          <a:avLst/>
        </a:prstGeom>
        <a:noFill/>
        <a:ln w="15875">
          <a:solidFill>
            <a:schemeClr val="accent6">
              <a:lumMod val="75000"/>
            </a:schemeClr>
          </a:solidFill>
          <a:round/>
          <a:headEnd/>
          <a:tailEnd type="triangle" w="med" len="med"/>
        </a:ln>
      </xdr:spPr>
    </xdr:sp>
    <xdr:clientData/>
  </xdr:twoCellAnchor>
  <xdr:twoCellAnchor>
    <xdr:from>
      <xdr:col>1</xdr:col>
      <xdr:colOff>165100</xdr:colOff>
      <xdr:row>54</xdr:row>
      <xdr:rowOff>84139</xdr:rowOff>
    </xdr:from>
    <xdr:to>
      <xdr:col>4</xdr:col>
      <xdr:colOff>31750</xdr:colOff>
      <xdr:row>60</xdr:row>
      <xdr:rowOff>46037</xdr:rowOff>
    </xdr:to>
    <xdr:sp macro="" textlink="">
      <xdr:nvSpPr>
        <xdr:cNvPr id="15" name="AutoShape 3">
          <a:extLst>
            <a:ext uri="{FF2B5EF4-FFF2-40B4-BE49-F238E27FC236}">
              <a16:creationId xmlns:a16="http://schemas.microsoft.com/office/drawing/2014/main" id="{00000000-0008-0000-0200-00006A000000}"/>
            </a:ext>
          </a:extLst>
        </xdr:cNvPr>
        <xdr:cNvSpPr>
          <a:spLocks noChangeArrowheads="1"/>
        </xdr:cNvSpPr>
      </xdr:nvSpPr>
      <xdr:spPr bwMode="auto">
        <a:xfrm>
          <a:off x="250825" y="11866564"/>
          <a:ext cx="581025" cy="923923"/>
        </a:xfrm>
        <a:prstGeom prst="roundRect">
          <a:avLst>
            <a:gd name="adj" fmla="val 16667"/>
          </a:avLst>
        </a:prstGeom>
        <a:noFill/>
        <a:ln w="15875" algn="ctr">
          <a:solidFill>
            <a:srgbClr val="FF6600"/>
          </a:solidFill>
          <a:round/>
          <a:headEnd/>
          <a:tailEnd/>
        </a:ln>
      </xdr:spPr>
    </xdr:sp>
    <xdr:clientData/>
  </xdr:twoCellAnchor>
  <xdr:twoCellAnchor>
    <xdr:from>
      <xdr:col>4</xdr:col>
      <xdr:colOff>47624</xdr:colOff>
      <xdr:row>58</xdr:row>
      <xdr:rowOff>33338</xdr:rowOff>
    </xdr:from>
    <xdr:to>
      <xdr:col>5</xdr:col>
      <xdr:colOff>231773</xdr:colOff>
      <xdr:row>60</xdr:row>
      <xdr:rowOff>138112</xdr:rowOff>
    </xdr:to>
    <xdr:sp macro="" textlink="">
      <xdr:nvSpPr>
        <xdr:cNvPr id="17" name="Line 23">
          <a:extLst>
            <a:ext uri="{FF2B5EF4-FFF2-40B4-BE49-F238E27FC236}">
              <a16:creationId xmlns:a16="http://schemas.microsoft.com/office/drawing/2014/main" id="{00000000-0008-0000-0200-00006C000000}"/>
            </a:ext>
          </a:extLst>
        </xdr:cNvPr>
        <xdr:cNvSpPr>
          <a:spLocks noChangeShapeType="1"/>
        </xdr:cNvSpPr>
      </xdr:nvSpPr>
      <xdr:spPr bwMode="auto">
        <a:xfrm flipH="1" flipV="1">
          <a:off x="847724" y="12453938"/>
          <a:ext cx="422274" cy="428624"/>
        </a:xfrm>
        <a:prstGeom prst="line">
          <a:avLst/>
        </a:prstGeom>
        <a:noFill/>
        <a:ln w="15875">
          <a:solidFill>
            <a:srgbClr val="FF6600"/>
          </a:solidFill>
          <a:round/>
          <a:headEnd/>
          <a:tailEnd type="triangle" w="med" len="med"/>
        </a:ln>
      </xdr:spPr>
    </xdr:sp>
    <xdr:clientData/>
  </xdr:twoCellAnchor>
  <xdr:twoCellAnchor>
    <xdr:from>
      <xdr:col>1</xdr:col>
      <xdr:colOff>203200</xdr:colOff>
      <xdr:row>62</xdr:row>
      <xdr:rowOff>106363</xdr:rowOff>
    </xdr:from>
    <xdr:to>
      <xdr:col>31</xdr:col>
      <xdr:colOff>31750</xdr:colOff>
      <xdr:row>68</xdr:row>
      <xdr:rowOff>219076</xdr:rowOff>
    </xdr:to>
    <xdr:sp macro="" textlink="">
      <xdr:nvSpPr>
        <xdr:cNvPr id="18" name="AutoShape 3">
          <a:extLst>
            <a:ext uri="{FF2B5EF4-FFF2-40B4-BE49-F238E27FC236}">
              <a16:creationId xmlns:a16="http://schemas.microsoft.com/office/drawing/2014/main" id="{00000000-0008-0000-0200-00006D000000}"/>
            </a:ext>
          </a:extLst>
        </xdr:cNvPr>
        <xdr:cNvSpPr>
          <a:spLocks noChangeArrowheads="1"/>
        </xdr:cNvSpPr>
      </xdr:nvSpPr>
      <xdr:spPr bwMode="auto">
        <a:xfrm>
          <a:off x="288925" y="13288963"/>
          <a:ext cx="7162800" cy="1522413"/>
        </a:xfrm>
        <a:prstGeom prst="roundRect">
          <a:avLst>
            <a:gd name="adj" fmla="val 16667"/>
          </a:avLst>
        </a:prstGeom>
        <a:noFill/>
        <a:ln w="15875" algn="ctr">
          <a:solidFill>
            <a:srgbClr val="FF6600"/>
          </a:solidFill>
          <a:round/>
          <a:headEnd/>
          <a:tailEnd/>
        </a:ln>
      </xdr:spPr>
    </xdr:sp>
    <xdr:clientData/>
  </xdr:twoCellAnchor>
  <xdr:twoCellAnchor>
    <xdr:from>
      <xdr:col>4</xdr:col>
      <xdr:colOff>57146</xdr:colOff>
      <xdr:row>53</xdr:row>
      <xdr:rowOff>171446</xdr:rowOff>
    </xdr:from>
    <xdr:to>
      <xdr:col>6</xdr:col>
      <xdr:colOff>47624</xdr:colOff>
      <xdr:row>56</xdr:row>
      <xdr:rowOff>147637</xdr:rowOff>
    </xdr:to>
    <xdr:sp macro="" textlink="">
      <xdr:nvSpPr>
        <xdr:cNvPr id="21" name="Line 23">
          <a:extLst>
            <a:ext uri="{FF2B5EF4-FFF2-40B4-BE49-F238E27FC236}">
              <a16:creationId xmlns:a16="http://schemas.microsoft.com/office/drawing/2014/main" id="{00000000-0008-0000-0200-000070000000}"/>
            </a:ext>
          </a:extLst>
        </xdr:cNvPr>
        <xdr:cNvSpPr>
          <a:spLocks noChangeShapeType="1"/>
        </xdr:cNvSpPr>
      </xdr:nvSpPr>
      <xdr:spPr bwMode="auto">
        <a:xfrm flipH="1" flipV="1">
          <a:off x="857246" y="11753846"/>
          <a:ext cx="466728" cy="490541"/>
        </a:xfrm>
        <a:prstGeom prst="line">
          <a:avLst/>
        </a:prstGeom>
        <a:noFill/>
        <a:ln w="15875">
          <a:solidFill>
            <a:srgbClr val="FF6600"/>
          </a:solidFill>
          <a:round/>
          <a:headEnd/>
          <a:tailEnd type="triangle" w="med" len="med"/>
        </a:ln>
      </xdr:spPr>
    </xdr:sp>
    <xdr:clientData/>
  </xdr:twoCellAnchor>
  <xdr:twoCellAnchor>
    <xdr:from>
      <xdr:col>1</xdr:col>
      <xdr:colOff>155575</xdr:colOff>
      <xdr:row>52</xdr:row>
      <xdr:rowOff>74614</xdr:rowOff>
    </xdr:from>
    <xdr:to>
      <xdr:col>4</xdr:col>
      <xdr:colOff>22225</xdr:colOff>
      <xdr:row>54</xdr:row>
      <xdr:rowOff>50802</xdr:rowOff>
    </xdr:to>
    <xdr:sp macro="" textlink="">
      <xdr:nvSpPr>
        <xdr:cNvPr id="22" name="AutoShape 3">
          <a:extLst>
            <a:ext uri="{FF2B5EF4-FFF2-40B4-BE49-F238E27FC236}">
              <a16:creationId xmlns:a16="http://schemas.microsoft.com/office/drawing/2014/main" id="{00000000-0008-0000-0200-000071000000}"/>
            </a:ext>
          </a:extLst>
        </xdr:cNvPr>
        <xdr:cNvSpPr>
          <a:spLocks noChangeArrowheads="1"/>
        </xdr:cNvSpPr>
      </xdr:nvSpPr>
      <xdr:spPr bwMode="auto">
        <a:xfrm>
          <a:off x="241300" y="11533189"/>
          <a:ext cx="581025" cy="300038"/>
        </a:xfrm>
        <a:prstGeom prst="roundRect">
          <a:avLst>
            <a:gd name="adj" fmla="val 16667"/>
          </a:avLst>
        </a:prstGeom>
        <a:noFill/>
        <a:ln w="15875" algn="ctr">
          <a:solidFill>
            <a:srgbClr val="FF6600"/>
          </a:solidFill>
          <a:round/>
          <a:headEnd/>
          <a:tailEnd/>
        </a:ln>
      </xdr:spPr>
    </xdr:sp>
    <xdr:clientData/>
  </xdr:twoCellAnchor>
  <xdr:twoCellAnchor>
    <xdr:from>
      <xdr:col>4</xdr:col>
      <xdr:colOff>0</xdr:colOff>
      <xdr:row>60</xdr:row>
      <xdr:rowOff>204787</xdr:rowOff>
    </xdr:from>
    <xdr:to>
      <xdr:col>5</xdr:col>
      <xdr:colOff>190500</xdr:colOff>
      <xdr:row>62</xdr:row>
      <xdr:rowOff>80962</xdr:rowOff>
    </xdr:to>
    <xdr:sp macro="" textlink="">
      <xdr:nvSpPr>
        <xdr:cNvPr id="23" name="Line 23">
          <a:extLst>
            <a:ext uri="{FF2B5EF4-FFF2-40B4-BE49-F238E27FC236}">
              <a16:creationId xmlns:a16="http://schemas.microsoft.com/office/drawing/2014/main" id="{00000000-0008-0000-0200-000076000000}"/>
            </a:ext>
          </a:extLst>
        </xdr:cNvPr>
        <xdr:cNvSpPr>
          <a:spLocks noChangeShapeType="1"/>
        </xdr:cNvSpPr>
      </xdr:nvSpPr>
      <xdr:spPr bwMode="auto">
        <a:xfrm flipH="1">
          <a:off x="800100" y="12949237"/>
          <a:ext cx="428625" cy="314325"/>
        </a:xfrm>
        <a:prstGeom prst="line">
          <a:avLst/>
        </a:prstGeom>
        <a:noFill/>
        <a:ln w="15875">
          <a:solidFill>
            <a:srgbClr val="FF6600"/>
          </a:solidFill>
          <a:round/>
          <a:headEnd/>
          <a:tailEnd type="triangle" w="med" len="med"/>
        </a:ln>
      </xdr:spPr>
    </xdr:sp>
    <xdr:clientData/>
  </xdr:twoCellAnchor>
  <xdr:twoCellAnchor>
    <xdr:from>
      <xdr:col>1</xdr:col>
      <xdr:colOff>114300</xdr:colOff>
      <xdr:row>10</xdr:row>
      <xdr:rowOff>171451</xdr:rowOff>
    </xdr:from>
    <xdr:to>
      <xdr:col>26</xdr:col>
      <xdr:colOff>60325</xdr:colOff>
      <xdr:row>12</xdr:row>
      <xdr:rowOff>44451</xdr:rowOff>
    </xdr:to>
    <xdr:sp macro="" textlink="">
      <xdr:nvSpPr>
        <xdr:cNvPr id="24" name="AutoShape 3">
          <a:extLst>
            <a:ext uri="{FF2B5EF4-FFF2-40B4-BE49-F238E27FC236}">
              <a16:creationId xmlns:a16="http://schemas.microsoft.com/office/drawing/2014/main" id="{00000000-0008-0000-0200-000020000000}"/>
            </a:ext>
          </a:extLst>
        </xdr:cNvPr>
        <xdr:cNvSpPr>
          <a:spLocks noChangeArrowheads="1"/>
        </xdr:cNvSpPr>
      </xdr:nvSpPr>
      <xdr:spPr bwMode="auto">
        <a:xfrm>
          <a:off x="200025" y="2790826"/>
          <a:ext cx="5899150" cy="311150"/>
        </a:xfrm>
        <a:prstGeom prst="roundRect">
          <a:avLst>
            <a:gd name="adj" fmla="val 16667"/>
          </a:avLst>
        </a:prstGeom>
        <a:noFill/>
        <a:ln w="15875" algn="ctr">
          <a:solidFill>
            <a:srgbClr val="FF6600"/>
          </a:solidFill>
          <a:round/>
          <a:headEnd/>
          <a:tailEnd/>
        </a:ln>
      </xdr:spPr>
    </xdr:sp>
    <xdr:clientData/>
  </xdr:twoCellAnchor>
  <xdr:twoCellAnchor>
    <xdr:from>
      <xdr:col>14</xdr:col>
      <xdr:colOff>146048</xdr:colOff>
      <xdr:row>12</xdr:row>
      <xdr:rowOff>63499</xdr:rowOff>
    </xdr:from>
    <xdr:to>
      <xdr:col>20</xdr:col>
      <xdr:colOff>222249</xdr:colOff>
      <xdr:row>13</xdr:row>
      <xdr:rowOff>122237</xdr:rowOff>
    </xdr:to>
    <xdr:sp macro="" textlink="">
      <xdr:nvSpPr>
        <xdr:cNvPr id="25" name="Line 23">
          <a:extLst>
            <a:ext uri="{FF2B5EF4-FFF2-40B4-BE49-F238E27FC236}">
              <a16:creationId xmlns:a16="http://schemas.microsoft.com/office/drawing/2014/main" id="{00000000-0008-0000-0200-000021000000}"/>
            </a:ext>
          </a:extLst>
        </xdr:cNvPr>
        <xdr:cNvSpPr>
          <a:spLocks noChangeShapeType="1"/>
        </xdr:cNvSpPr>
      </xdr:nvSpPr>
      <xdr:spPr bwMode="auto">
        <a:xfrm flipH="1" flipV="1">
          <a:off x="3327398" y="3121024"/>
          <a:ext cx="1504951" cy="268288"/>
        </a:xfrm>
        <a:prstGeom prst="line">
          <a:avLst/>
        </a:prstGeom>
        <a:noFill/>
        <a:ln w="15875">
          <a:solidFill>
            <a:srgbClr val="FF6600"/>
          </a:solidFill>
          <a:round/>
          <a:headEnd/>
          <a:tailEnd type="triangle" w="med" len="med"/>
        </a:ln>
      </xdr:spPr>
    </xdr:sp>
    <xdr:clientData/>
  </xdr:twoCellAnchor>
  <xdr:oneCellAnchor>
    <xdr:from>
      <xdr:col>21</xdr:col>
      <xdr:colOff>28575</xdr:colOff>
      <xdr:row>8</xdr:row>
      <xdr:rowOff>147638</xdr:rowOff>
    </xdr:from>
    <xdr:ext cx="3800475" cy="504825"/>
    <xdr:sp macro="" textlink="">
      <xdr:nvSpPr>
        <xdr:cNvPr id="27" name="AutoShape 24">
          <a:extLst>
            <a:ext uri="{FF2B5EF4-FFF2-40B4-BE49-F238E27FC236}">
              <a16:creationId xmlns:a16="http://schemas.microsoft.com/office/drawing/2014/main" id="{00000000-0008-0000-0200-000060000000}"/>
            </a:ext>
          </a:extLst>
        </xdr:cNvPr>
        <xdr:cNvSpPr>
          <a:spLocks noChangeArrowheads="1"/>
        </xdr:cNvSpPr>
      </xdr:nvSpPr>
      <xdr:spPr bwMode="auto">
        <a:xfrm>
          <a:off x="4876800" y="2024063"/>
          <a:ext cx="3800475" cy="504825"/>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en-US" altLang="ja-JP" sz="1100" b="0" i="0" baseline="0">
              <a:solidFill>
                <a:sysClr val="windowText" lastClr="000000"/>
              </a:solidFill>
              <a:effectLst/>
              <a:latin typeface="+mn-lt"/>
              <a:ea typeface="+mn-ea"/>
              <a:cs typeface="+mn-cs"/>
            </a:rPr>
            <a:t>This is the part to be operated by the MinebeaMitsumi Group.</a:t>
          </a:r>
        </a:p>
        <a:p>
          <a:pPr rtl="0"/>
          <a:r>
            <a:rPr lang="en-US" altLang="ja-JP" sz="1100" b="0" i="0" baseline="0">
              <a:solidFill>
                <a:sysClr val="windowText" lastClr="000000"/>
              </a:solidFill>
              <a:effectLst/>
              <a:latin typeface="+mn-lt"/>
              <a:ea typeface="+mn-ea"/>
              <a:cs typeface="+mn-cs"/>
            </a:rPr>
            <a:t>Do not change it.</a:t>
          </a:r>
          <a:endParaRPr lang="ja-JP" altLang="ja-JP">
            <a:solidFill>
              <a:sysClr val="windowText" lastClr="000000"/>
            </a:solidFill>
            <a:effectLst/>
          </a:endParaRPr>
        </a:p>
      </xdr:txBody>
    </xdr:sp>
    <xdr:clientData/>
  </xdr:oneCellAnchor>
  <xdr:twoCellAnchor>
    <xdr:from>
      <xdr:col>25</xdr:col>
      <xdr:colOff>38098</xdr:colOff>
      <xdr:row>6</xdr:row>
      <xdr:rowOff>90488</xdr:rowOff>
    </xdr:from>
    <xdr:to>
      <xdr:col>27</xdr:col>
      <xdr:colOff>19049</xdr:colOff>
      <xdr:row>8</xdr:row>
      <xdr:rowOff>119062</xdr:rowOff>
    </xdr:to>
    <xdr:sp macro="" textlink="">
      <xdr:nvSpPr>
        <xdr:cNvPr id="28" name="Line 23">
          <a:extLst>
            <a:ext uri="{FF2B5EF4-FFF2-40B4-BE49-F238E27FC236}">
              <a16:creationId xmlns:a16="http://schemas.microsoft.com/office/drawing/2014/main" id="{00000000-0008-0000-0200-000061000000}"/>
            </a:ext>
          </a:extLst>
        </xdr:cNvPr>
        <xdr:cNvSpPr>
          <a:spLocks noChangeShapeType="1"/>
        </xdr:cNvSpPr>
      </xdr:nvSpPr>
      <xdr:spPr bwMode="auto">
        <a:xfrm flipH="1" flipV="1">
          <a:off x="5838823" y="1538288"/>
          <a:ext cx="457201" cy="457199"/>
        </a:xfrm>
        <a:prstGeom prst="line">
          <a:avLst/>
        </a:prstGeom>
        <a:noFill/>
        <a:ln w="15875">
          <a:solidFill>
            <a:srgbClr val="FF6600"/>
          </a:solidFill>
          <a:round/>
          <a:headEnd/>
          <a:tailEnd type="triangle" w="med" len="med"/>
        </a:ln>
      </xdr:spPr>
    </xdr:sp>
    <xdr:clientData/>
  </xdr:twoCellAnchor>
  <xdr:twoCellAnchor>
    <xdr:from>
      <xdr:col>0</xdr:col>
      <xdr:colOff>9525</xdr:colOff>
      <xdr:row>0</xdr:row>
      <xdr:rowOff>119063</xdr:rowOff>
    </xdr:from>
    <xdr:to>
      <xdr:col>32</xdr:col>
      <xdr:colOff>0</xdr:colOff>
      <xdr:row>6</xdr:row>
      <xdr:rowOff>100013</xdr:rowOff>
    </xdr:to>
    <xdr:sp macro="" textlink="">
      <xdr:nvSpPr>
        <xdr:cNvPr id="29" name="AutoShape 3">
          <a:extLst>
            <a:ext uri="{FF2B5EF4-FFF2-40B4-BE49-F238E27FC236}">
              <a16:creationId xmlns:a16="http://schemas.microsoft.com/office/drawing/2014/main" id="{00000000-0008-0000-0200-00005C000000}"/>
            </a:ext>
          </a:extLst>
        </xdr:cNvPr>
        <xdr:cNvSpPr>
          <a:spLocks noChangeArrowheads="1"/>
        </xdr:cNvSpPr>
      </xdr:nvSpPr>
      <xdr:spPr bwMode="auto">
        <a:xfrm>
          <a:off x="9525" y="119063"/>
          <a:ext cx="7496175" cy="1428750"/>
        </a:xfrm>
        <a:prstGeom prst="roundRect">
          <a:avLst>
            <a:gd name="adj" fmla="val 16667"/>
          </a:avLst>
        </a:prstGeom>
        <a:noFill/>
        <a:ln w="15875" algn="ctr">
          <a:solidFill>
            <a:srgbClr val="FF6600"/>
          </a:solidFill>
          <a:round/>
          <a:headEnd/>
          <a:tailEnd/>
        </a:ln>
      </xdr:spPr>
    </xdr:sp>
    <xdr:clientData/>
  </xdr:twoCellAnchor>
  <xdr:twoCellAnchor>
    <xdr:from>
      <xdr:col>27</xdr:col>
      <xdr:colOff>57149</xdr:colOff>
      <xdr:row>72</xdr:row>
      <xdr:rowOff>152400</xdr:rowOff>
    </xdr:from>
    <xdr:to>
      <xdr:col>28</xdr:col>
      <xdr:colOff>323849</xdr:colOff>
      <xdr:row>73</xdr:row>
      <xdr:rowOff>142874</xdr:rowOff>
    </xdr:to>
    <xdr:sp macro="" textlink="">
      <xdr:nvSpPr>
        <xdr:cNvPr id="31" name="Line 23">
          <a:extLst>
            <a:ext uri="{FF2B5EF4-FFF2-40B4-BE49-F238E27FC236}">
              <a16:creationId xmlns:a16="http://schemas.microsoft.com/office/drawing/2014/main" id="{00000000-0008-0000-0200-000074000000}"/>
            </a:ext>
          </a:extLst>
        </xdr:cNvPr>
        <xdr:cNvSpPr>
          <a:spLocks noChangeShapeType="1"/>
        </xdr:cNvSpPr>
      </xdr:nvSpPr>
      <xdr:spPr bwMode="auto">
        <a:xfrm>
          <a:off x="6334124" y="15459075"/>
          <a:ext cx="504825" cy="238124"/>
        </a:xfrm>
        <a:prstGeom prst="line">
          <a:avLst/>
        </a:prstGeom>
        <a:noFill/>
        <a:ln w="15875">
          <a:solidFill>
            <a:srgbClr val="FF6600"/>
          </a:solidFill>
          <a:round/>
          <a:headEnd/>
          <a:tailEnd type="triangle" w="med" len="med"/>
        </a:ln>
      </xdr:spPr>
    </xdr:sp>
    <xdr:clientData/>
  </xdr:twoCellAnchor>
  <xdr:oneCellAnchor>
    <xdr:from>
      <xdr:col>3</xdr:col>
      <xdr:colOff>171450</xdr:colOff>
      <xdr:row>38</xdr:row>
      <xdr:rowOff>109538</xdr:rowOff>
    </xdr:from>
    <xdr:ext cx="8724900" cy="476250"/>
    <xdr:sp macro="" textlink="">
      <xdr:nvSpPr>
        <xdr:cNvPr id="32" name="AutoShape 24">
          <a:extLst>
            <a:ext uri="{FF2B5EF4-FFF2-40B4-BE49-F238E27FC236}">
              <a16:creationId xmlns:a16="http://schemas.microsoft.com/office/drawing/2014/main" id="{00000000-0008-0000-0200-000065000000}"/>
            </a:ext>
          </a:extLst>
        </xdr:cNvPr>
        <xdr:cNvSpPr>
          <a:spLocks noChangeArrowheads="1"/>
        </xdr:cNvSpPr>
      </xdr:nvSpPr>
      <xdr:spPr bwMode="auto">
        <a:xfrm>
          <a:off x="733425" y="8662988"/>
          <a:ext cx="8724900" cy="47625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en-US" altLang="ja-JP">
              <a:solidFill>
                <a:sysClr val="windowText" lastClr="000000"/>
              </a:solidFill>
              <a:effectLst/>
            </a:rPr>
            <a:t>Since there is no designation of prohibited substances required by customerusing Appendix 1, it is indicated that Appendix 1 is not attached..</a:t>
          </a:r>
        </a:p>
        <a:p>
          <a:pPr rtl="0"/>
          <a:r>
            <a:rPr lang="en-US" altLang="ja-JP">
              <a:solidFill>
                <a:sysClr val="windowText" lastClr="000000"/>
              </a:solidFill>
              <a:effectLst/>
            </a:rPr>
            <a:t>It is not indicated whether or not there are other request form equivalent to Sheet 1.</a:t>
          </a:r>
        </a:p>
      </xdr:txBody>
    </xdr:sp>
    <xdr:clientData/>
  </xdr:oneCellAnchor>
  <xdr:twoCellAnchor>
    <xdr:from>
      <xdr:col>5</xdr:col>
      <xdr:colOff>168272</xdr:colOff>
      <xdr:row>41</xdr:row>
      <xdr:rowOff>61912</xdr:rowOff>
    </xdr:from>
    <xdr:to>
      <xdr:col>8</xdr:col>
      <xdr:colOff>158750</xdr:colOff>
      <xdr:row>42</xdr:row>
      <xdr:rowOff>52387</xdr:rowOff>
    </xdr:to>
    <xdr:sp macro="" textlink="">
      <xdr:nvSpPr>
        <xdr:cNvPr id="33" name="Line 23">
          <a:extLst>
            <a:ext uri="{FF2B5EF4-FFF2-40B4-BE49-F238E27FC236}">
              <a16:creationId xmlns:a16="http://schemas.microsoft.com/office/drawing/2014/main" id="{00000000-0008-0000-0200-000066000000}"/>
            </a:ext>
          </a:extLst>
        </xdr:cNvPr>
        <xdr:cNvSpPr>
          <a:spLocks noChangeShapeType="1"/>
        </xdr:cNvSpPr>
      </xdr:nvSpPr>
      <xdr:spPr bwMode="auto">
        <a:xfrm flipH="1">
          <a:off x="1206497" y="9158287"/>
          <a:ext cx="704853" cy="171450"/>
        </a:xfrm>
        <a:prstGeom prst="line">
          <a:avLst/>
        </a:prstGeom>
        <a:noFill/>
        <a:ln w="15875">
          <a:solidFill>
            <a:srgbClr val="FF6600"/>
          </a:solidFill>
          <a:round/>
          <a:headEnd/>
          <a:tailEnd type="triangle" w="med" len="med"/>
        </a:ln>
      </xdr:spPr>
    </xdr:sp>
    <xdr:clientData/>
  </xdr:twoCellAnchor>
  <xdr:twoCellAnchor>
    <xdr:from>
      <xdr:col>27</xdr:col>
      <xdr:colOff>228600</xdr:colOff>
      <xdr:row>73</xdr:row>
      <xdr:rowOff>169334</xdr:rowOff>
    </xdr:from>
    <xdr:to>
      <xdr:col>31</xdr:col>
      <xdr:colOff>40218</xdr:colOff>
      <xdr:row>180</xdr:row>
      <xdr:rowOff>38100</xdr:rowOff>
    </xdr:to>
    <xdr:sp macro="" textlink="">
      <xdr:nvSpPr>
        <xdr:cNvPr id="34" name="AutoShape 3">
          <a:extLst>
            <a:ext uri="{FF2B5EF4-FFF2-40B4-BE49-F238E27FC236}">
              <a16:creationId xmlns:a16="http://schemas.microsoft.com/office/drawing/2014/main" id="{00000000-0008-0000-0200-000072000000}"/>
            </a:ext>
          </a:extLst>
        </xdr:cNvPr>
        <xdr:cNvSpPr>
          <a:spLocks noChangeArrowheads="1"/>
        </xdr:cNvSpPr>
      </xdr:nvSpPr>
      <xdr:spPr bwMode="auto">
        <a:xfrm>
          <a:off x="6505575" y="15723659"/>
          <a:ext cx="954618" cy="45169666"/>
        </a:xfrm>
        <a:prstGeom prst="roundRect">
          <a:avLst>
            <a:gd name="adj" fmla="val 16667"/>
          </a:avLst>
        </a:prstGeom>
        <a:noFill/>
        <a:ln w="15875" algn="ctr">
          <a:solidFill>
            <a:srgbClr val="FF66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129540</xdr:colOff>
          <xdr:row>52</xdr:row>
          <xdr:rowOff>106680</xdr:rowOff>
        </xdr:from>
        <xdr:to>
          <xdr:col>5</xdr:col>
          <xdr:colOff>190500</xdr:colOff>
          <xdr:row>54</xdr:row>
          <xdr:rowOff>30480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55</xdr:row>
          <xdr:rowOff>182880</xdr:rowOff>
        </xdr:from>
        <xdr:to>
          <xdr:col>5</xdr:col>
          <xdr:colOff>205740</xdr:colOff>
          <xdr:row>57</xdr:row>
          <xdr:rowOff>30480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57</xdr:row>
          <xdr:rowOff>106680</xdr:rowOff>
        </xdr:from>
        <xdr:to>
          <xdr:col>5</xdr:col>
          <xdr:colOff>190500</xdr:colOff>
          <xdr:row>59</xdr:row>
          <xdr:rowOff>30480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20</xdr:col>
      <xdr:colOff>228600</xdr:colOff>
      <xdr:row>13</xdr:row>
      <xdr:rowOff>9525</xdr:rowOff>
    </xdr:from>
    <xdr:ext cx="2346324" cy="238125"/>
    <xdr:sp macro="" textlink="">
      <xdr:nvSpPr>
        <xdr:cNvPr id="39" name="AutoShape 9"/>
        <xdr:cNvSpPr>
          <a:spLocks noChangeArrowheads="1"/>
        </xdr:cNvSpPr>
      </xdr:nvSpPr>
      <xdr:spPr bwMode="auto">
        <a:xfrm>
          <a:off x="4838700" y="3276600"/>
          <a:ext cx="2346324" cy="238125"/>
        </a:xfrm>
        <a:prstGeom prst="roundRect">
          <a:avLst>
            <a:gd name="adj" fmla="val 16667"/>
          </a:avLst>
        </a:prstGeom>
        <a:solidFill>
          <a:schemeClr val="accent5">
            <a:lumMod val="40000"/>
            <a:lumOff val="60000"/>
          </a:schemeClr>
        </a:solidFill>
        <a:ln w="15875" algn="ctr">
          <a:solidFill>
            <a:srgbClr val="FF6600"/>
          </a:solidFill>
          <a:round/>
          <a:headEnd/>
          <a:tailEnd/>
        </a:ln>
        <a:effectLst/>
      </xdr:spPr>
      <xdr:txBody>
        <a:bodyPr wrap="square" lIns="18288" tIns="18288" rIns="0" bIns="0" anchor="t" upright="1">
          <a:noAutofit/>
        </a:bodyPr>
        <a:lstStyle/>
        <a:p>
          <a:pPr algn="l" rtl="0">
            <a:defRPr sz="1000"/>
          </a:pPr>
          <a:r>
            <a:rPr lang="en-US" altLang="ja-JP" sz="1100" b="0" i="0" u="none" strike="noStrike" baseline="0">
              <a:solidFill>
                <a:srgbClr val="000000"/>
              </a:solidFill>
              <a:latin typeface="Arial" panose="020B0604020202020204" pitchFamily="34" charset="0"/>
              <a:ea typeface="ＭＳ Ｐゴシック"/>
              <a:cs typeface="Arial" panose="020B0604020202020204" pitchFamily="34" charset="0"/>
            </a:rPr>
            <a:t>First, select the language you use. </a:t>
          </a:r>
          <a:endParaRPr lang="ja-JP" altLang="en-US" sz="1100" b="0" i="0" u="none" strike="noStrike" baseline="0">
            <a:solidFill>
              <a:srgbClr val="000000"/>
            </a:solidFill>
            <a:latin typeface="Arial" panose="020B0604020202020204" pitchFamily="34" charset="0"/>
            <a:ea typeface="ＭＳ Ｐゴシック"/>
            <a:cs typeface="Arial" panose="020B0604020202020204" pitchFamily="34" charset="0"/>
          </a:endParaRPr>
        </a:p>
      </xdr:txBody>
    </xdr:sp>
    <xdr:clientData/>
  </xdr:oneCellAnchor>
  <xdr:twoCellAnchor>
    <xdr:from>
      <xdr:col>14</xdr:col>
      <xdr:colOff>231774</xdr:colOff>
      <xdr:row>21</xdr:row>
      <xdr:rowOff>9525</xdr:rowOff>
    </xdr:from>
    <xdr:to>
      <xdr:col>18</xdr:col>
      <xdr:colOff>95250</xdr:colOff>
      <xdr:row>23</xdr:row>
      <xdr:rowOff>74612</xdr:rowOff>
    </xdr:to>
    <xdr:sp macro="" textlink="">
      <xdr:nvSpPr>
        <xdr:cNvPr id="40" name="Line 23">
          <a:extLst>
            <a:ext uri="{FF2B5EF4-FFF2-40B4-BE49-F238E27FC236}">
              <a16:creationId xmlns:a16="http://schemas.microsoft.com/office/drawing/2014/main" id="{00000000-0008-0000-0200-00005D000000}"/>
            </a:ext>
          </a:extLst>
        </xdr:cNvPr>
        <xdr:cNvSpPr>
          <a:spLocks noChangeShapeType="1"/>
        </xdr:cNvSpPr>
      </xdr:nvSpPr>
      <xdr:spPr bwMode="auto">
        <a:xfrm flipH="1">
          <a:off x="3413124" y="5162550"/>
          <a:ext cx="815976" cy="341312"/>
        </a:xfrm>
        <a:prstGeom prst="line">
          <a:avLst/>
        </a:prstGeom>
        <a:noFill/>
        <a:ln w="15875">
          <a:solidFill>
            <a:srgbClr val="FF6600"/>
          </a:solidFill>
          <a:round/>
          <a:headEnd/>
          <a:tailEnd type="triangle" w="med" len="med"/>
        </a:ln>
      </xdr:spPr>
    </xdr:sp>
    <xdr:clientData/>
  </xdr:twoCellAnchor>
  <xdr:oneCellAnchor>
    <xdr:from>
      <xdr:col>3</xdr:col>
      <xdr:colOff>114300</xdr:colOff>
      <xdr:row>18</xdr:row>
      <xdr:rowOff>19050</xdr:rowOff>
    </xdr:from>
    <xdr:ext cx="6535246" cy="486370"/>
    <xdr:sp macro="" textlink="">
      <xdr:nvSpPr>
        <xdr:cNvPr id="42" name="AutoShape 24"/>
        <xdr:cNvSpPr>
          <a:spLocks noChangeArrowheads="1"/>
        </xdr:cNvSpPr>
      </xdr:nvSpPr>
      <xdr:spPr bwMode="auto">
        <a:xfrm>
          <a:off x="676275" y="4667250"/>
          <a:ext cx="6535246" cy="48637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en-US" altLang="ja-JP" sz="1100" b="0" i="0" baseline="0">
              <a:solidFill>
                <a:sysClr val="windowText" lastClr="000000"/>
              </a:solidFill>
              <a:effectLst/>
              <a:latin typeface="+mn-lt"/>
              <a:ea typeface="+mn-ea"/>
              <a:cs typeface="+mn-cs"/>
            </a:rPr>
            <a:t>Upper row : Please fill in Mitsumi Electric Co., Ltd. or MinebeaMitsumi Inc. depending on your transaction.</a:t>
          </a:r>
        </a:p>
        <a:p>
          <a:pPr rtl="0"/>
          <a:r>
            <a:rPr lang="en-US" altLang="ja-JP" sz="1100" b="0" i="0" baseline="0">
              <a:solidFill>
                <a:sysClr val="windowText" lastClr="000000"/>
              </a:solidFill>
              <a:effectLst/>
              <a:latin typeface="+mn-lt"/>
              <a:ea typeface="+mn-ea"/>
              <a:cs typeface="+mn-cs"/>
            </a:rPr>
            <a:t>Bottom : Please fill in the MinebeaMitsumi Group business headquarters and business divisions.</a:t>
          </a:r>
        </a:p>
        <a:p>
          <a:pPr rtl="0"/>
          <a:endParaRPr lang="ja-JP" altLang="ja-JP">
            <a:effectLst/>
          </a:endParaRPr>
        </a:p>
      </xdr:txBody>
    </xdr:sp>
    <xdr:clientData/>
  </xdr:oneCellAnchor>
  <xdr:oneCellAnchor>
    <xdr:from>
      <xdr:col>18</xdr:col>
      <xdr:colOff>123825</xdr:colOff>
      <xdr:row>24</xdr:row>
      <xdr:rowOff>66675</xdr:rowOff>
    </xdr:from>
    <xdr:ext cx="1076325" cy="333375"/>
    <xdr:sp macro="" textlink="">
      <xdr:nvSpPr>
        <xdr:cNvPr id="43" name="AutoShape 24"/>
        <xdr:cNvSpPr>
          <a:spLocks noChangeArrowheads="1"/>
        </xdr:cNvSpPr>
      </xdr:nvSpPr>
      <xdr:spPr bwMode="auto">
        <a:xfrm>
          <a:off x="4257675" y="5743575"/>
          <a:ext cx="1076325" cy="333375"/>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ctr" upright="1">
          <a:noAutofit/>
        </a:bodyPr>
        <a:lstStyle/>
        <a:p>
          <a:pPr rtl="0"/>
          <a:r>
            <a:rPr lang="en-US" altLang="ja-JP" sz="1100" b="0" i="0" baseline="0">
              <a:effectLst/>
              <a:latin typeface="Arial" panose="020B0604020202020204" pitchFamily="34" charset="0"/>
              <a:ea typeface="+mn-ea"/>
              <a:cs typeface="Arial" panose="020B0604020202020204" pitchFamily="34" charset="0"/>
            </a:rPr>
            <a:t>Please fill in it. </a:t>
          </a:r>
        </a:p>
      </xdr:txBody>
    </xdr:sp>
    <xdr:clientData/>
  </xdr:oneCellAnchor>
  <xdr:oneCellAnchor>
    <xdr:from>
      <xdr:col>15</xdr:col>
      <xdr:colOff>228600</xdr:colOff>
      <xdr:row>32</xdr:row>
      <xdr:rowOff>114300</xdr:rowOff>
    </xdr:from>
    <xdr:ext cx="2817811" cy="314325"/>
    <xdr:sp macro="" textlink="">
      <xdr:nvSpPr>
        <xdr:cNvPr id="44" name="AutoShape 24"/>
        <xdr:cNvSpPr>
          <a:spLocks noChangeArrowheads="1"/>
        </xdr:cNvSpPr>
      </xdr:nvSpPr>
      <xdr:spPr bwMode="auto">
        <a:xfrm>
          <a:off x="3648075" y="7581900"/>
          <a:ext cx="2817811" cy="314325"/>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en-US" altLang="ja-JP" sz="1100" b="0" i="0" baseline="0">
              <a:effectLst/>
              <a:latin typeface="Arial" panose="020B0604020202020204" pitchFamily="34" charset="0"/>
              <a:ea typeface="+mn-ea"/>
              <a:cs typeface="Arial" panose="020B0604020202020204" pitchFamily="34" charset="0"/>
            </a:rPr>
            <a:t>Please sign responsible person signature.</a:t>
          </a:r>
        </a:p>
      </xdr:txBody>
    </xdr:sp>
    <xdr:clientData/>
  </xdr:oneCellAnchor>
  <xdr:oneCellAnchor>
    <xdr:from>
      <xdr:col>7</xdr:col>
      <xdr:colOff>142875</xdr:colOff>
      <xdr:row>45</xdr:row>
      <xdr:rowOff>9525</xdr:rowOff>
    </xdr:from>
    <xdr:ext cx="4690572" cy="438150"/>
    <xdr:sp macro="" textlink="">
      <xdr:nvSpPr>
        <xdr:cNvPr id="45" name="AutoShape 24"/>
        <xdr:cNvSpPr>
          <a:spLocks noChangeArrowheads="1"/>
        </xdr:cNvSpPr>
      </xdr:nvSpPr>
      <xdr:spPr bwMode="auto">
        <a:xfrm>
          <a:off x="1657350" y="9848850"/>
          <a:ext cx="4690572" cy="43815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ctr" upright="1">
          <a:noAutofit/>
        </a:bodyPr>
        <a:lstStyle/>
        <a:p>
          <a:pPr rtl="0"/>
          <a:r>
            <a:rPr lang="en-US" altLang="ja-JP">
              <a:effectLst/>
              <a:latin typeface="Arial" panose="020B0604020202020204" pitchFamily="34" charset="0"/>
              <a:cs typeface="Arial" panose="020B0604020202020204" pitchFamily="34" charset="0"/>
            </a:rPr>
            <a:t>Please write your product name, product number, figure number, etc. </a:t>
          </a:r>
        </a:p>
        <a:p>
          <a:pPr rtl="0"/>
          <a:r>
            <a:rPr lang="en-US" altLang="ja-JP">
              <a:effectLst/>
              <a:latin typeface="Arial" panose="020B0604020202020204" pitchFamily="34" charset="0"/>
              <a:cs typeface="Arial" panose="020B0604020202020204" pitchFamily="34" charset="0"/>
            </a:rPr>
            <a:t>If you are an agent, please enter the manufacturer name of the product.</a:t>
          </a:r>
          <a:endParaRPr lang="ja-JP" altLang="ja-JP">
            <a:effectLst/>
            <a:latin typeface="Arial" panose="020B0604020202020204" pitchFamily="34" charset="0"/>
            <a:cs typeface="Arial" panose="020B0604020202020204" pitchFamily="34" charset="0"/>
          </a:endParaRPr>
        </a:p>
      </xdr:txBody>
    </xdr:sp>
    <xdr:clientData/>
  </xdr:oneCellAnchor>
  <xdr:oneCellAnchor>
    <xdr:from>
      <xdr:col>7</xdr:col>
      <xdr:colOff>19050</xdr:colOff>
      <xdr:row>53</xdr:row>
      <xdr:rowOff>76200</xdr:rowOff>
    </xdr:from>
    <xdr:ext cx="7943850" cy="438150"/>
    <xdr:sp macro="" textlink="">
      <xdr:nvSpPr>
        <xdr:cNvPr id="46" name="AutoShape 24"/>
        <xdr:cNvSpPr>
          <a:spLocks noChangeArrowheads="1"/>
        </xdr:cNvSpPr>
      </xdr:nvSpPr>
      <xdr:spPr bwMode="auto">
        <a:xfrm>
          <a:off x="1533525" y="11658600"/>
          <a:ext cx="7943850" cy="438150"/>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en-US" altLang="ja-JP">
              <a:effectLst/>
              <a:latin typeface="Arial" panose="020B0604020202020204" pitchFamily="34" charset="0"/>
              <a:cs typeface="Arial" panose="020B0604020202020204" pitchFamily="34" charset="0"/>
            </a:rPr>
            <a:t>Please write the MinebeaMitsumi Group's product name, product number, drawing number, etc. to the best of your knowledge.</a:t>
          </a:r>
        </a:p>
        <a:p>
          <a:pPr rtl="0"/>
          <a:r>
            <a:rPr lang="en-US" altLang="ja-JP">
              <a:effectLst/>
              <a:latin typeface="Arial" panose="020B0604020202020204" pitchFamily="34" charset="0"/>
              <a:cs typeface="Arial" panose="020B0604020202020204" pitchFamily="34" charset="0"/>
            </a:rPr>
            <a:t>For Mitsumi Electric, please write only the product name and Drawing number. No part RN or item code is required.</a:t>
          </a:r>
        </a:p>
      </xdr:txBody>
    </xdr:sp>
    <xdr:clientData/>
  </xdr:oneCellAnchor>
  <xdr:oneCellAnchor>
    <xdr:from>
      <xdr:col>5</xdr:col>
      <xdr:colOff>180975</xdr:colOff>
      <xdr:row>60</xdr:row>
      <xdr:rowOff>9525</xdr:rowOff>
    </xdr:from>
    <xdr:ext cx="5839922" cy="447675"/>
    <xdr:sp macro="" textlink="">
      <xdr:nvSpPr>
        <xdr:cNvPr id="49" name="AutoShape 24"/>
        <xdr:cNvSpPr>
          <a:spLocks noChangeArrowheads="1"/>
        </xdr:cNvSpPr>
      </xdr:nvSpPr>
      <xdr:spPr bwMode="auto">
        <a:xfrm>
          <a:off x="1219200" y="12753975"/>
          <a:ext cx="5839922" cy="447675"/>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ctr" upright="1">
          <a:noAutofit/>
        </a:bodyPr>
        <a:lstStyle/>
        <a:p>
          <a:pPr rtl="0"/>
          <a:r>
            <a:rPr lang="en-US" altLang="ja-JP">
              <a:effectLst/>
              <a:latin typeface="Arial" panose="020B0604020202020204" pitchFamily="34" charset="0"/>
              <a:cs typeface="Arial" panose="020B0604020202020204" pitchFamily="34" charset="0"/>
            </a:rPr>
            <a:t>Put ✔ on the appropriate one. (Click to enter ✔)</a:t>
          </a:r>
        </a:p>
        <a:p>
          <a:pPr rtl="0"/>
          <a:r>
            <a:rPr lang="en-US" altLang="ja-JP">
              <a:effectLst/>
              <a:latin typeface="Arial" panose="020B0604020202020204" pitchFamily="34" charset="0"/>
              <a:cs typeface="Arial" panose="020B0604020202020204" pitchFamily="34" charset="0"/>
            </a:rPr>
            <a:t>When prohibited substances are used for exemption, enter the contents in the table below.</a:t>
          </a:r>
        </a:p>
      </xdr:txBody>
    </xdr:sp>
    <xdr:clientData/>
  </xdr:oneCellAnchor>
  <xdr:oneCellAnchor>
    <xdr:from>
      <xdr:col>6</xdr:col>
      <xdr:colOff>57148</xdr:colOff>
      <xdr:row>56</xdr:row>
      <xdr:rowOff>66675</xdr:rowOff>
    </xdr:from>
    <xdr:ext cx="8001001" cy="458788"/>
    <xdr:sp macro="" textlink="">
      <xdr:nvSpPr>
        <xdr:cNvPr id="51" name="AutoShape 20"/>
        <xdr:cNvSpPr>
          <a:spLocks noChangeArrowheads="1"/>
        </xdr:cNvSpPr>
      </xdr:nvSpPr>
      <xdr:spPr bwMode="auto">
        <a:xfrm>
          <a:off x="1333498" y="12163425"/>
          <a:ext cx="8001001" cy="458788"/>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square" lIns="18288" tIns="18288" rIns="0" bIns="0" anchor="ctr" upright="1">
          <a:noAutofit/>
        </a:bodyPr>
        <a:lstStyle/>
        <a:p>
          <a:pPr rtl="0"/>
          <a:r>
            <a:rPr lang="en-US" altLang="ja-JP" sz="1100">
              <a:effectLst/>
              <a:latin typeface="Arial" panose="020B0604020202020204" pitchFamily="34" charset="0"/>
              <a:ea typeface="+mn-ea"/>
              <a:cs typeface="Arial" panose="020B0604020202020204" pitchFamily="34" charset="0"/>
            </a:rPr>
            <a:t>Please put ✔ when When reporting with Certificate of Non-use List attached because there are many parts. (Click to enter ✔)   </a:t>
          </a:r>
        </a:p>
        <a:p>
          <a:pPr rtl="0"/>
          <a:r>
            <a:rPr lang="en-US" altLang="ja-JP" sz="1100">
              <a:effectLst/>
              <a:latin typeface="Arial" panose="020B0604020202020204" pitchFamily="34" charset="0"/>
              <a:ea typeface="+mn-ea"/>
              <a:cs typeface="Arial" panose="020B0604020202020204" pitchFamily="34" charset="0"/>
            </a:rPr>
            <a:t>In that case, please submit Non-Use Certificate List .</a:t>
          </a:r>
        </a:p>
      </xdr:txBody>
    </xdr:sp>
    <xdr:clientData/>
  </xdr:oneCellAnchor>
  <xdr:oneCellAnchor>
    <xdr:from>
      <xdr:col>1</xdr:col>
      <xdr:colOff>47625</xdr:colOff>
      <xdr:row>69</xdr:row>
      <xdr:rowOff>76200</xdr:rowOff>
    </xdr:from>
    <xdr:ext cx="6200775" cy="704850"/>
    <xdr:sp macro="" textlink="">
      <xdr:nvSpPr>
        <xdr:cNvPr id="52" name="AutoShape 24"/>
        <xdr:cNvSpPr>
          <a:spLocks noChangeArrowheads="1"/>
        </xdr:cNvSpPr>
      </xdr:nvSpPr>
      <xdr:spPr bwMode="auto">
        <a:xfrm>
          <a:off x="133350" y="14916150"/>
          <a:ext cx="6200775" cy="70485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ctr" upright="1">
          <a:noAutofit/>
        </a:bodyPr>
        <a:lstStyle/>
        <a:p>
          <a:pPr rtl="0"/>
          <a:r>
            <a:rPr lang="en-US" altLang="ja-JP" sz="1100" b="0">
              <a:effectLst/>
              <a:latin typeface="Arial" panose="020B0604020202020204" pitchFamily="34" charset="0"/>
              <a:ea typeface="+mn-ea"/>
              <a:cs typeface="Arial" panose="020B0604020202020204" pitchFamily="34" charset="0"/>
            </a:rPr>
            <a:t>Please enter “○” if it conformity.</a:t>
          </a:r>
        </a:p>
        <a:p>
          <a:pPr rtl="0"/>
          <a:r>
            <a:rPr lang="en-US" altLang="ja-JP" sz="1100" b="0">
              <a:effectLst/>
              <a:latin typeface="Arial" panose="020B0604020202020204" pitchFamily="34" charset="0"/>
              <a:ea typeface="+mn-ea"/>
              <a:cs typeface="Arial" panose="020B0604020202020204" pitchFamily="34" charset="0"/>
            </a:rPr>
            <a:t>Please enter “○” as conformity,</a:t>
          </a:r>
          <a:r>
            <a:rPr lang="en-US" altLang="ja-JP" sz="1100" b="0" baseline="0">
              <a:effectLst/>
              <a:latin typeface="Arial" panose="020B0604020202020204" pitchFamily="34" charset="0"/>
              <a:ea typeface="+mn-ea"/>
              <a:cs typeface="Arial" panose="020B0604020202020204" pitchFamily="34" charset="0"/>
            </a:rPr>
            <a:t> e</a:t>
          </a:r>
          <a:r>
            <a:rPr lang="en-US" altLang="ja-JP" sz="1100" b="0">
              <a:effectLst/>
              <a:latin typeface="Arial" panose="020B0604020202020204" pitchFamily="34" charset="0"/>
              <a:ea typeface="+mn-ea"/>
              <a:cs typeface="Arial" panose="020B0604020202020204" pitchFamily="34" charset="0"/>
            </a:rPr>
            <a:t>ven if it is intentionally used / contained for exemption.</a:t>
          </a:r>
        </a:p>
        <a:p>
          <a:pPr rtl="0"/>
          <a:r>
            <a:rPr lang="en-US" altLang="ja-JP" sz="1100" b="0">
              <a:effectLst/>
              <a:latin typeface="Arial" panose="020B0604020202020204" pitchFamily="34" charset="0"/>
              <a:ea typeface="+mn-ea"/>
              <a:cs typeface="Arial" panose="020B0604020202020204" pitchFamily="34" charset="0"/>
            </a:rPr>
            <a:t>Please enter “○” as conformity, even if  it is intentionally used / contained for non-regulated uses.</a:t>
          </a:r>
          <a:endParaRPr lang="ja-JP" altLang="ja-JP">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xdr:colOff>
      <xdr:row>22</xdr:row>
      <xdr:rowOff>134938</xdr:rowOff>
    </xdr:from>
    <xdr:to>
      <xdr:col>14</xdr:col>
      <xdr:colOff>231775</xdr:colOff>
      <xdr:row>24</xdr:row>
      <xdr:rowOff>233363</xdr:rowOff>
    </xdr:to>
    <xdr:sp macro="" textlink="">
      <xdr:nvSpPr>
        <xdr:cNvPr id="2" name="AutoShape 3">
          <a:extLst>
            <a:ext uri="{FF2B5EF4-FFF2-40B4-BE49-F238E27FC236}">
              <a16:creationId xmlns:a16="http://schemas.microsoft.com/office/drawing/2014/main" id="{00000000-0008-0000-0200-00005C000000}"/>
            </a:ext>
          </a:extLst>
        </xdr:cNvPr>
        <xdr:cNvSpPr>
          <a:spLocks noChangeArrowheads="1"/>
        </xdr:cNvSpPr>
      </xdr:nvSpPr>
      <xdr:spPr bwMode="auto">
        <a:xfrm>
          <a:off x="19050" y="5411788"/>
          <a:ext cx="3394075" cy="498475"/>
        </a:xfrm>
        <a:prstGeom prst="roundRect">
          <a:avLst>
            <a:gd name="adj" fmla="val 16667"/>
          </a:avLst>
        </a:prstGeom>
        <a:noFill/>
        <a:ln w="15875" algn="ctr">
          <a:solidFill>
            <a:srgbClr val="FF6600"/>
          </a:solidFill>
          <a:round/>
          <a:headEnd/>
          <a:tailEnd/>
        </a:ln>
      </xdr:spPr>
    </xdr:sp>
    <xdr:clientData/>
  </xdr:twoCellAnchor>
  <xdr:twoCellAnchor>
    <xdr:from>
      <xdr:col>22</xdr:col>
      <xdr:colOff>3175</xdr:colOff>
      <xdr:row>29</xdr:row>
      <xdr:rowOff>231776</xdr:rowOff>
    </xdr:from>
    <xdr:to>
      <xdr:col>31</xdr:col>
      <xdr:colOff>3175</xdr:colOff>
      <xdr:row>31</xdr:row>
      <xdr:rowOff>1</xdr:rowOff>
    </xdr:to>
    <xdr:sp macro="" textlink="">
      <xdr:nvSpPr>
        <xdr:cNvPr id="4" name="AutoShape 3">
          <a:extLst>
            <a:ext uri="{FF2B5EF4-FFF2-40B4-BE49-F238E27FC236}">
              <a16:creationId xmlns:a16="http://schemas.microsoft.com/office/drawing/2014/main" id="{00000000-0008-0000-0200-00005F000000}"/>
            </a:ext>
          </a:extLst>
        </xdr:cNvPr>
        <xdr:cNvSpPr>
          <a:spLocks noChangeArrowheads="1"/>
        </xdr:cNvSpPr>
      </xdr:nvSpPr>
      <xdr:spPr bwMode="auto">
        <a:xfrm>
          <a:off x="5089525" y="7023101"/>
          <a:ext cx="2333625" cy="320675"/>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18</xdr:col>
      <xdr:colOff>114300</xdr:colOff>
      <xdr:row>24</xdr:row>
      <xdr:rowOff>100013</xdr:rowOff>
    </xdr:from>
    <xdr:ext cx="1771650" cy="352425"/>
    <xdr:sp macro="" textlink="">
      <xdr:nvSpPr>
        <xdr:cNvPr id="5" name="AutoShape 24">
          <a:extLst>
            <a:ext uri="{FF2B5EF4-FFF2-40B4-BE49-F238E27FC236}">
              <a16:creationId xmlns:a16="http://schemas.microsoft.com/office/drawing/2014/main" id="{00000000-0008-0000-0200-000060000000}"/>
            </a:ext>
          </a:extLst>
        </xdr:cNvPr>
        <xdr:cNvSpPr>
          <a:spLocks noChangeArrowheads="1"/>
        </xdr:cNvSpPr>
      </xdr:nvSpPr>
      <xdr:spPr bwMode="auto">
        <a:xfrm>
          <a:off x="4248150" y="5776913"/>
          <a:ext cx="1771650" cy="352425"/>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eaLnBrk="1" fontAlgn="auto" latinLnBrk="0" hangingPunct="1"/>
          <a:r>
            <a:rPr lang="ja-JP" altLang="en-US" sz="1100" b="0" i="0" baseline="0">
              <a:effectLst/>
              <a:latin typeface="+mn-lt"/>
              <a:ea typeface="+mn-ea"/>
              <a:cs typeface="+mn-cs"/>
            </a:rPr>
            <a:t>由供应商填写</a:t>
          </a:r>
        </a:p>
      </xdr:txBody>
    </xdr:sp>
    <xdr:clientData/>
  </xdr:oneCellAnchor>
  <xdr:twoCellAnchor>
    <xdr:from>
      <xdr:col>8</xdr:col>
      <xdr:colOff>219074</xdr:colOff>
      <xdr:row>24</xdr:row>
      <xdr:rowOff>228600</xdr:rowOff>
    </xdr:from>
    <xdr:to>
      <xdr:col>18</xdr:col>
      <xdr:colOff>114298</xdr:colOff>
      <xdr:row>26</xdr:row>
      <xdr:rowOff>171450</xdr:rowOff>
    </xdr:to>
    <xdr:sp macro="" textlink="">
      <xdr:nvSpPr>
        <xdr:cNvPr id="6" name="Line 23">
          <a:extLst>
            <a:ext uri="{FF2B5EF4-FFF2-40B4-BE49-F238E27FC236}">
              <a16:creationId xmlns:a16="http://schemas.microsoft.com/office/drawing/2014/main" id="{00000000-0008-0000-0200-000061000000}"/>
            </a:ext>
          </a:extLst>
        </xdr:cNvPr>
        <xdr:cNvSpPr>
          <a:spLocks noChangeShapeType="1"/>
        </xdr:cNvSpPr>
      </xdr:nvSpPr>
      <xdr:spPr bwMode="auto">
        <a:xfrm flipH="1">
          <a:off x="1971674" y="5905500"/>
          <a:ext cx="2276474" cy="314325"/>
        </a:xfrm>
        <a:prstGeom prst="line">
          <a:avLst/>
        </a:prstGeom>
        <a:noFill/>
        <a:ln w="15875">
          <a:solidFill>
            <a:srgbClr val="FF6600"/>
          </a:solidFill>
          <a:round/>
          <a:headEnd/>
          <a:tailEnd type="triangle" w="med" len="med"/>
        </a:ln>
      </xdr:spPr>
    </xdr:sp>
    <xdr:clientData/>
  </xdr:twoCellAnchor>
  <xdr:oneCellAnchor>
    <xdr:from>
      <xdr:col>14</xdr:col>
      <xdr:colOff>101601</xdr:colOff>
      <xdr:row>32</xdr:row>
      <xdr:rowOff>112713</xdr:rowOff>
    </xdr:from>
    <xdr:ext cx="3695700" cy="333375"/>
    <xdr:sp macro="" textlink="">
      <xdr:nvSpPr>
        <xdr:cNvPr id="7" name="AutoShape 24">
          <a:extLst>
            <a:ext uri="{FF2B5EF4-FFF2-40B4-BE49-F238E27FC236}">
              <a16:creationId xmlns:a16="http://schemas.microsoft.com/office/drawing/2014/main" id="{00000000-0008-0000-0200-000062000000}"/>
            </a:ext>
          </a:extLst>
        </xdr:cNvPr>
        <xdr:cNvSpPr>
          <a:spLocks noChangeArrowheads="1"/>
        </xdr:cNvSpPr>
      </xdr:nvSpPr>
      <xdr:spPr bwMode="auto">
        <a:xfrm>
          <a:off x="3282951" y="7580313"/>
          <a:ext cx="3695700" cy="333375"/>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sz="1100" b="0" i="0" baseline="0">
              <a:effectLst/>
              <a:latin typeface="+mn-lt"/>
              <a:ea typeface="+mn-ea"/>
              <a:cs typeface="+mn-cs"/>
            </a:rPr>
            <a:t>请盖印章（公章或负责人印章）或签名</a:t>
          </a:r>
        </a:p>
      </xdr:txBody>
    </xdr:sp>
    <xdr:clientData/>
  </xdr:oneCellAnchor>
  <xdr:twoCellAnchor>
    <xdr:from>
      <xdr:col>24</xdr:col>
      <xdr:colOff>30163</xdr:colOff>
      <xdr:row>31</xdr:row>
      <xdr:rowOff>25400</xdr:rowOff>
    </xdr:from>
    <xdr:to>
      <xdr:col>26</xdr:col>
      <xdr:colOff>28575</xdr:colOff>
      <xdr:row>32</xdr:row>
      <xdr:rowOff>106361</xdr:rowOff>
    </xdr:to>
    <xdr:sp macro="" textlink="">
      <xdr:nvSpPr>
        <xdr:cNvPr id="8" name="Line 23">
          <a:extLst>
            <a:ext uri="{FF2B5EF4-FFF2-40B4-BE49-F238E27FC236}">
              <a16:creationId xmlns:a16="http://schemas.microsoft.com/office/drawing/2014/main" id="{00000000-0008-0000-0200-000063000000}"/>
            </a:ext>
          </a:extLst>
        </xdr:cNvPr>
        <xdr:cNvSpPr>
          <a:spLocks noChangeShapeType="1"/>
        </xdr:cNvSpPr>
      </xdr:nvSpPr>
      <xdr:spPr bwMode="auto">
        <a:xfrm flipV="1">
          <a:off x="5592763" y="7369175"/>
          <a:ext cx="474662" cy="204786"/>
        </a:xfrm>
        <a:prstGeom prst="line">
          <a:avLst/>
        </a:prstGeom>
        <a:noFill/>
        <a:ln w="15875">
          <a:solidFill>
            <a:schemeClr val="accent6">
              <a:lumMod val="75000"/>
            </a:schemeClr>
          </a:solidFill>
          <a:round/>
          <a:headEnd/>
          <a:tailEnd type="triangle" w="med" len="med"/>
        </a:ln>
      </xdr:spPr>
    </xdr:sp>
    <xdr:clientData/>
  </xdr:twoCellAnchor>
  <xdr:twoCellAnchor>
    <xdr:from>
      <xdr:col>1</xdr:col>
      <xdr:colOff>204298</xdr:colOff>
      <xdr:row>48</xdr:row>
      <xdr:rowOff>161927</xdr:rowOff>
    </xdr:from>
    <xdr:to>
      <xdr:col>30</xdr:col>
      <xdr:colOff>228600</xdr:colOff>
      <xdr:row>49</xdr:row>
      <xdr:rowOff>279401</xdr:rowOff>
    </xdr:to>
    <xdr:sp macro="" textlink="">
      <xdr:nvSpPr>
        <xdr:cNvPr id="9" name="AutoShape 3">
          <a:extLst>
            <a:ext uri="{FF2B5EF4-FFF2-40B4-BE49-F238E27FC236}">
              <a16:creationId xmlns:a16="http://schemas.microsoft.com/office/drawing/2014/main" id="{00000000-0008-0000-0200-000064000000}"/>
            </a:ext>
          </a:extLst>
        </xdr:cNvPr>
        <xdr:cNvSpPr>
          <a:spLocks noChangeArrowheads="1"/>
        </xdr:cNvSpPr>
      </xdr:nvSpPr>
      <xdr:spPr bwMode="auto">
        <a:xfrm>
          <a:off x="290023" y="10525127"/>
          <a:ext cx="7120427" cy="298449"/>
        </a:xfrm>
        <a:prstGeom prst="roundRect">
          <a:avLst>
            <a:gd name="adj" fmla="val 16667"/>
          </a:avLst>
        </a:prstGeom>
        <a:noFill/>
        <a:ln w="15875" algn="ctr">
          <a:solidFill>
            <a:srgbClr val="FF6600"/>
          </a:solidFill>
          <a:round/>
          <a:headEnd/>
          <a:tailEnd/>
        </a:ln>
      </xdr:spPr>
    </xdr:sp>
    <xdr:clientData/>
  </xdr:twoCellAnchor>
  <xdr:oneCellAnchor>
    <xdr:from>
      <xdr:col>4</xdr:col>
      <xdr:colOff>174624</xdr:colOff>
      <xdr:row>45</xdr:row>
      <xdr:rowOff>161925</xdr:rowOff>
    </xdr:from>
    <xdr:ext cx="6086475" cy="323850"/>
    <xdr:sp macro="" textlink="">
      <xdr:nvSpPr>
        <xdr:cNvPr id="10" name="AutoShape 24">
          <a:extLst>
            <a:ext uri="{FF2B5EF4-FFF2-40B4-BE49-F238E27FC236}">
              <a16:creationId xmlns:a16="http://schemas.microsoft.com/office/drawing/2014/main" id="{00000000-0008-0000-0200-000065000000}"/>
            </a:ext>
          </a:extLst>
        </xdr:cNvPr>
        <xdr:cNvSpPr>
          <a:spLocks noChangeArrowheads="1"/>
        </xdr:cNvSpPr>
      </xdr:nvSpPr>
      <xdr:spPr bwMode="auto">
        <a:xfrm>
          <a:off x="974724" y="10001250"/>
          <a:ext cx="6086475" cy="32385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a:effectLst/>
            </a:rPr>
            <a:t>请填写客户的品名、品番、图番。代理店的话请填写商品的厂家。</a:t>
          </a:r>
        </a:p>
      </xdr:txBody>
    </xdr:sp>
    <xdr:clientData/>
  </xdr:oneCellAnchor>
  <xdr:twoCellAnchor>
    <xdr:from>
      <xdr:col>10</xdr:col>
      <xdr:colOff>228596</xdr:colOff>
      <xdr:row>47</xdr:row>
      <xdr:rowOff>71437</xdr:rowOff>
    </xdr:from>
    <xdr:to>
      <xdr:col>13</xdr:col>
      <xdr:colOff>219074</xdr:colOff>
      <xdr:row>48</xdr:row>
      <xdr:rowOff>123825</xdr:rowOff>
    </xdr:to>
    <xdr:sp macro="" textlink="">
      <xdr:nvSpPr>
        <xdr:cNvPr id="11" name="Line 23">
          <a:extLst>
            <a:ext uri="{FF2B5EF4-FFF2-40B4-BE49-F238E27FC236}">
              <a16:creationId xmlns:a16="http://schemas.microsoft.com/office/drawing/2014/main" id="{00000000-0008-0000-0200-000066000000}"/>
            </a:ext>
          </a:extLst>
        </xdr:cNvPr>
        <xdr:cNvSpPr>
          <a:spLocks noChangeShapeType="1"/>
        </xdr:cNvSpPr>
      </xdr:nvSpPr>
      <xdr:spPr bwMode="auto">
        <a:xfrm flipH="1">
          <a:off x="2457446" y="10310812"/>
          <a:ext cx="704853" cy="176213"/>
        </a:xfrm>
        <a:prstGeom prst="line">
          <a:avLst/>
        </a:prstGeom>
        <a:noFill/>
        <a:ln w="15875">
          <a:solidFill>
            <a:srgbClr val="FF6600"/>
          </a:solidFill>
          <a:round/>
          <a:headEnd/>
          <a:tailEnd type="triangle" w="med" len="med"/>
        </a:ln>
      </xdr:spPr>
    </xdr:sp>
    <xdr:clientData/>
  </xdr:twoCellAnchor>
  <xdr:twoCellAnchor>
    <xdr:from>
      <xdr:col>1</xdr:col>
      <xdr:colOff>184151</xdr:colOff>
      <xdr:row>50</xdr:row>
      <xdr:rowOff>19050</xdr:rowOff>
    </xdr:from>
    <xdr:to>
      <xdr:col>31</xdr:col>
      <xdr:colOff>-1</xdr:colOff>
      <xdr:row>52</xdr:row>
      <xdr:rowOff>46038</xdr:rowOff>
    </xdr:to>
    <xdr:sp macro="" textlink="">
      <xdr:nvSpPr>
        <xdr:cNvPr id="12" name="AutoShape 3">
          <a:extLst>
            <a:ext uri="{FF2B5EF4-FFF2-40B4-BE49-F238E27FC236}">
              <a16:creationId xmlns:a16="http://schemas.microsoft.com/office/drawing/2014/main" id="{00000000-0008-0000-0200-000067000000}"/>
            </a:ext>
          </a:extLst>
        </xdr:cNvPr>
        <xdr:cNvSpPr>
          <a:spLocks noChangeArrowheads="1"/>
        </xdr:cNvSpPr>
      </xdr:nvSpPr>
      <xdr:spPr bwMode="auto">
        <a:xfrm>
          <a:off x="269876" y="10868025"/>
          <a:ext cx="7150098" cy="636588"/>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8</xdr:col>
      <xdr:colOff>79375</xdr:colOff>
      <xdr:row>53</xdr:row>
      <xdr:rowOff>19050</xdr:rowOff>
    </xdr:from>
    <xdr:ext cx="3806826" cy="517525"/>
    <xdr:sp macro="" textlink="">
      <xdr:nvSpPr>
        <xdr:cNvPr id="13" name="AutoShape 24">
          <a:extLst>
            <a:ext uri="{FF2B5EF4-FFF2-40B4-BE49-F238E27FC236}">
              <a16:creationId xmlns:a16="http://schemas.microsoft.com/office/drawing/2014/main" id="{00000000-0008-0000-0200-000068000000}"/>
            </a:ext>
          </a:extLst>
        </xdr:cNvPr>
        <xdr:cNvSpPr>
          <a:spLocks noChangeArrowheads="1"/>
        </xdr:cNvSpPr>
      </xdr:nvSpPr>
      <xdr:spPr bwMode="auto">
        <a:xfrm>
          <a:off x="1831975" y="11601450"/>
          <a:ext cx="3806826" cy="517525"/>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a:effectLst/>
            </a:rPr>
            <a:t>请填写对美蓓亚三美集团了解范围的品名、品番、图番等</a:t>
          </a:r>
        </a:p>
        <a:p>
          <a:pPr rtl="0"/>
          <a:r>
            <a:rPr lang="ja-JP" altLang="en-US">
              <a:solidFill>
                <a:sysClr val="windowText" lastClr="000000"/>
              </a:solidFill>
              <a:effectLst/>
            </a:rPr>
            <a:t>三美电机向的只有品名和图番。不需要品番、条款编号。</a:t>
          </a:r>
          <a:endParaRPr lang="ja-JP" altLang="ja-JP">
            <a:solidFill>
              <a:sysClr val="windowText" lastClr="000000"/>
            </a:solidFill>
            <a:effectLst/>
          </a:endParaRPr>
        </a:p>
      </xdr:txBody>
    </xdr:sp>
    <xdr:clientData/>
  </xdr:oneCellAnchor>
  <xdr:twoCellAnchor>
    <xdr:from>
      <xdr:col>15</xdr:col>
      <xdr:colOff>160828</xdr:colOff>
      <xdr:row>51</xdr:row>
      <xdr:rowOff>155575</xdr:rowOff>
    </xdr:from>
    <xdr:to>
      <xdr:col>16</xdr:col>
      <xdr:colOff>215900</xdr:colOff>
      <xdr:row>53</xdr:row>
      <xdr:rowOff>12701</xdr:rowOff>
    </xdr:to>
    <xdr:sp macro="" textlink="">
      <xdr:nvSpPr>
        <xdr:cNvPr id="14" name="Line 23">
          <a:extLst>
            <a:ext uri="{FF2B5EF4-FFF2-40B4-BE49-F238E27FC236}">
              <a16:creationId xmlns:a16="http://schemas.microsoft.com/office/drawing/2014/main" id="{00000000-0008-0000-0200-000069000000}"/>
            </a:ext>
          </a:extLst>
        </xdr:cNvPr>
        <xdr:cNvSpPr>
          <a:spLocks noChangeShapeType="1"/>
        </xdr:cNvSpPr>
      </xdr:nvSpPr>
      <xdr:spPr bwMode="auto">
        <a:xfrm flipH="1" flipV="1">
          <a:off x="3580303" y="11309350"/>
          <a:ext cx="293197" cy="285751"/>
        </a:xfrm>
        <a:prstGeom prst="line">
          <a:avLst/>
        </a:prstGeom>
        <a:noFill/>
        <a:ln w="15875">
          <a:solidFill>
            <a:schemeClr val="accent6">
              <a:lumMod val="75000"/>
            </a:schemeClr>
          </a:solidFill>
          <a:round/>
          <a:headEnd/>
          <a:tailEnd type="triangle" w="med" len="med"/>
        </a:ln>
      </xdr:spPr>
    </xdr:sp>
    <xdr:clientData/>
  </xdr:twoCellAnchor>
  <xdr:twoCellAnchor>
    <xdr:from>
      <xdr:col>1</xdr:col>
      <xdr:colOff>165100</xdr:colOff>
      <xdr:row>54</xdr:row>
      <xdr:rowOff>84139</xdr:rowOff>
    </xdr:from>
    <xdr:to>
      <xdr:col>4</xdr:col>
      <xdr:colOff>31750</xdr:colOff>
      <xdr:row>60</xdr:row>
      <xdr:rowOff>46037</xdr:rowOff>
    </xdr:to>
    <xdr:sp macro="" textlink="">
      <xdr:nvSpPr>
        <xdr:cNvPr id="15" name="AutoShape 3">
          <a:extLst>
            <a:ext uri="{FF2B5EF4-FFF2-40B4-BE49-F238E27FC236}">
              <a16:creationId xmlns:a16="http://schemas.microsoft.com/office/drawing/2014/main" id="{00000000-0008-0000-0200-00006A000000}"/>
            </a:ext>
          </a:extLst>
        </xdr:cNvPr>
        <xdr:cNvSpPr>
          <a:spLocks noChangeArrowheads="1"/>
        </xdr:cNvSpPr>
      </xdr:nvSpPr>
      <xdr:spPr bwMode="auto">
        <a:xfrm>
          <a:off x="250825" y="11866564"/>
          <a:ext cx="581025" cy="923923"/>
        </a:xfrm>
        <a:prstGeom prst="roundRect">
          <a:avLst>
            <a:gd name="adj" fmla="val 16667"/>
          </a:avLst>
        </a:prstGeom>
        <a:noFill/>
        <a:ln w="15875" algn="ctr">
          <a:solidFill>
            <a:srgbClr val="FF6600"/>
          </a:solidFill>
          <a:round/>
          <a:headEnd/>
          <a:tailEnd/>
        </a:ln>
      </xdr:spPr>
    </xdr:sp>
    <xdr:clientData/>
  </xdr:twoCellAnchor>
  <xdr:twoCellAnchor>
    <xdr:from>
      <xdr:col>4</xdr:col>
      <xdr:colOff>47624</xdr:colOff>
      <xdr:row>58</xdr:row>
      <xdr:rowOff>33338</xdr:rowOff>
    </xdr:from>
    <xdr:to>
      <xdr:col>5</xdr:col>
      <xdr:colOff>231773</xdr:colOff>
      <xdr:row>60</xdr:row>
      <xdr:rowOff>138112</xdr:rowOff>
    </xdr:to>
    <xdr:sp macro="" textlink="">
      <xdr:nvSpPr>
        <xdr:cNvPr id="17" name="Line 23">
          <a:extLst>
            <a:ext uri="{FF2B5EF4-FFF2-40B4-BE49-F238E27FC236}">
              <a16:creationId xmlns:a16="http://schemas.microsoft.com/office/drawing/2014/main" id="{00000000-0008-0000-0200-00006C000000}"/>
            </a:ext>
          </a:extLst>
        </xdr:cNvPr>
        <xdr:cNvSpPr>
          <a:spLocks noChangeShapeType="1"/>
        </xdr:cNvSpPr>
      </xdr:nvSpPr>
      <xdr:spPr bwMode="auto">
        <a:xfrm flipH="1" flipV="1">
          <a:off x="847724" y="12453938"/>
          <a:ext cx="422274" cy="428624"/>
        </a:xfrm>
        <a:prstGeom prst="line">
          <a:avLst/>
        </a:prstGeom>
        <a:noFill/>
        <a:ln w="15875">
          <a:solidFill>
            <a:srgbClr val="FF6600"/>
          </a:solidFill>
          <a:round/>
          <a:headEnd/>
          <a:tailEnd type="triangle" w="med" len="med"/>
        </a:ln>
      </xdr:spPr>
    </xdr:sp>
    <xdr:clientData/>
  </xdr:twoCellAnchor>
  <xdr:twoCellAnchor>
    <xdr:from>
      <xdr:col>1</xdr:col>
      <xdr:colOff>203200</xdr:colOff>
      <xdr:row>62</xdr:row>
      <xdr:rowOff>106363</xdr:rowOff>
    </xdr:from>
    <xdr:to>
      <xdr:col>31</xdr:col>
      <xdr:colOff>31750</xdr:colOff>
      <xdr:row>68</xdr:row>
      <xdr:rowOff>219076</xdr:rowOff>
    </xdr:to>
    <xdr:sp macro="" textlink="">
      <xdr:nvSpPr>
        <xdr:cNvPr id="18" name="AutoShape 3">
          <a:extLst>
            <a:ext uri="{FF2B5EF4-FFF2-40B4-BE49-F238E27FC236}">
              <a16:creationId xmlns:a16="http://schemas.microsoft.com/office/drawing/2014/main" id="{00000000-0008-0000-0200-00006D000000}"/>
            </a:ext>
          </a:extLst>
        </xdr:cNvPr>
        <xdr:cNvSpPr>
          <a:spLocks noChangeArrowheads="1"/>
        </xdr:cNvSpPr>
      </xdr:nvSpPr>
      <xdr:spPr bwMode="auto">
        <a:xfrm>
          <a:off x="288925" y="13288963"/>
          <a:ext cx="7162800" cy="1522413"/>
        </a:xfrm>
        <a:prstGeom prst="roundRect">
          <a:avLst>
            <a:gd name="adj" fmla="val 16667"/>
          </a:avLst>
        </a:prstGeom>
        <a:noFill/>
        <a:ln w="15875" algn="ctr">
          <a:solidFill>
            <a:srgbClr val="FF6600"/>
          </a:solidFill>
          <a:round/>
          <a:headEnd/>
          <a:tailEnd/>
        </a:ln>
      </xdr:spPr>
    </xdr:sp>
    <xdr:clientData/>
  </xdr:twoCellAnchor>
  <xdr:oneCellAnchor>
    <xdr:from>
      <xdr:col>6</xdr:col>
      <xdr:colOff>9525</xdr:colOff>
      <xdr:row>56</xdr:row>
      <xdr:rowOff>76200</xdr:rowOff>
    </xdr:from>
    <xdr:ext cx="6934200" cy="576264"/>
    <xdr:sp macro="" textlink="">
      <xdr:nvSpPr>
        <xdr:cNvPr id="20" name="AutoShape 20">
          <a:extLst>
            <a:ext uri="{FF2B5EF4-FFF2-40B4-BE49-F238E27FC236}">
              <a16:creationId xmlns:a16="http://schemas.microsoft.com/office/drawing/2014/main" id="{00000000-0008-0000-0200-00006F000000}"/>
            </a:ext>
          </a:extLst>
        </xdr:cNvPr>
        <xdr:cNvSpPr>
          <a:spLocks noChangeArrowheads="1"/>
        </xdr:cNvSpPr>
      </xdr:nvSpPr>
      <xdr:spPr bwMode="auto">
        <a:xfrm>
          <a:off x="1285875" y="12172950"/>
          <a:ext cx="6934200" cy="576264"/>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square" lIns="18288" tIns="18288" rIns="0" bIns="0" anchor="t" upright="1">
          <a:noAutofit/>
        </a:bodyPr>
        <a:lstStyle/>
        <a:p>
          <a:pPr rtl="0"/>
          <a:r>
            <a:rPr lang="ja-JP" altLang="en-US" sz="1100">
              <a:solidFill>
                <a:sysClr val="windowText" lastClr="000000"/>
              </a:solidFill>
              <a:effectLst/>
              <a:latin typeface="+mn-lt"/>
              <a:ea typeface="+mn-ea"/>
              <a:cs typeface="+mn-cs"/>
            </a:rPr>
            <a:t>由于部品数量多，附上不使用证明书一览表并报告时，请打✔（点击就会出现✔）</a:t>
          </a:r>
          <a:endParaRPr lang="en-US" altLang="ja-JP" sz="1100">
            <a:solidFill>
              <a:sysClr val="windowText" lastClr="000000"/>
            </a:solidFill>
            <a:effectLst/>
            <a:latin typeface="+mn-lt"/>
            <a:ea typeface="+mn-ea"/>
            <a:cs typeface="+mn-cs"/>
          </a:endParaRPr>
        </a:p>
        <a:p>
          <a:pPr rtl="0"/>
          <a:r>
            <a:rPr lang="ja-JP" altLang="en-US" sz="1100">
              <a:solidFill>
                <a:sysClr val="windowText" lastClr="000000"/>
              </a:solidFill>
              <a:effectLst/>
              <a:latin typeface="+mn-lt"/>
              <a:ea typeface="+mn-ea"/>
              <a:cs typeface="+mn-cs"/>
            </a:rPr>
            <a:t>请提交不使用证明书一览表</a:t>
          </a:r>
        </a:p>
      </xdr:txBody>
    </xdr:sp>
    <xdr:clientData/>
  </xdr:oneCellAnchor>
  <xdr:twoCellAnchor>
    <xdr:from>
      <xdr:col>4</xdr:col>
      <xdr:colOff>57146</xdr:colOff>
      <xdr:row>53</xdr:row>
      <xdr:rowOff>171446</xdr:rowOff>
    </xdr:from>
    <xdr:to>
      <xdr:col>6</xdr:col>
      <xdr:colOff>47624</xdr:colOff>
      <xdr:row>56</xdr:row>
      <xdr:rowOff>147637</xdr:rowOff>
    </xdr:to>
    <xdr:sp macro="" textlink="">
      <xdr:nvSpPr>
        <xdr:cNvPr id="21" name="Line 23">
          <a:extLst>
            <a:ext uri="{FF2B5EF4-FFF2-40B4-BE49-F238E27FC236}">
              <a16:creationId xmlns:a16="http://schemas.microsoft.com/office/drawing/2014/main" id="{00000000-0008-0000-0200-000070000000}"/>
            </a:ext>
          </a:extLst>
        </xdr:cNvPr>
        <xdr:cNvSpPr>
          <a:spLocks noChangeShapeType="1"/>
        </xdr:cNvSpPr>
      </xdr:nvSpPr>
      <xdr:spPr bwMode="auto">
        <a:xfrm flipH="1" flipV="1">
          <a:off x="857246" y="11753846"/>
          <a:ext cx="466728" cy="490541"/>
        </a:xfrm>
        <a:prstGeom prst="line">
          <a:avLst/>
        </a:prstGeom>
        <a:noFill/>
        <a:ln w="15875">
          <a:solidFill>
            <a:srgbClr val="FF6600"/>
          </a:solidFill>
          <a:round/>
          <a:headEnd/>
          <a:tailEnd type="triangle" w="med" len="med"/>
        </a:ln>
      </xdr:spPr>
    </xdr:sp>
    <xdr:clientData/>
  </xdr:twoCellAnchor>
  <xdr:twoCellAnchor>
    <xdr:from>
      <xdr:col>1</xdr:col>
      <xdr:colOff>155575</xdr:colOff>
      <xdr:row>52</xdr:row>
      <xdr:rowOff>74614</xdr:rowOff>
    </xdr:from>
    <xdr:to>
      <xdr:col>4</xdr:col>
      <xdr:colOff>22225</xdr:colOff>
      <xdr:row>54</xdr:row>
      <xdr:rowOff>50802</xdr:rowOff>
    </xdr:to>
    <xdr:sp macro="" textlink="">
      <xdr:nvSpPr>
        <xdr:cNvPr id="22" name="AutoShape 3">
          <a:extLst>
            <a:ext uri="{FF2B5EF4-FFF2-40B4-BE49-F238E27FC236}">
              <a16:creationId xmlns:a16="http://schemas.microsoft.com/office/drawing/2014/main" id="{00000000-0008-0000-0200-000071000000}"/>
            </a:ext>
          </a:extLst>
        </xdr:cNvPr>
        <xdr:cNvSpPr>
          <a:spLocks noChangeArrowheads="1"/>
        </xdr:cNvSpPr>
      </xdr:nvSpPr>
      <xdr:spPr bwMode="auto">
        <a:xfrm>
          <a:off x="241300" y="11533189"/>
          <a:ext cx="581025" cy="300038"/>
        </a:xfrm>
        <a:prstGeom prst="roundRect">
          <a:avLst>
            <a:gd name="adj" fmla="val 16667"/>
          </a:avLst>
        </a:prstGeom>
        <a:noFill/>
        <a:ln w="15875" algn="ctr">
          <a:solidFill>
            <a:srgbClr val="FF6600"/>
          </a:solidFill>
          <a:round/>
          <a:headEnd/>
          <a:tailEnd/>
        </a:ln>
      </xdr:spPr>
    </xdr:sp>
    <xdr:clientData/>
  </xdr:twoCellAnchor>
  <xdr:twoCellAnchor>
    <xdr:from>
      <xdr:col>4</xdr:col>
      <xdr:colOff>0</xdr:colOff>
      <xdr:row>60</xdr:row>
      <xdr:rowOff>204787</xdr:rowOff>
    </xdr:from>
    <xdr:to>
      <xdr:col>5</xdr:col>
      <xdr:colOff>190500</xdr:colOff>
      <xdr:row>62</xdr:row>
      <xdr:rowOff>80962</xdr:rowOff>
    </xdr:to>
    <xdr:sp macro="" textlink="">
      <xdr:nvSpPr>
        <xdr:cNvPr id="23" name="Line 23">
          <a:extLst>
            <a:ext uri="{FF2B5EF4-FFF2-40B4-BE49-F238E27FC236}">
              <a16:creationId xmlns:a16="http://schemas.microsoft.com/office/drawing/2014/main" id="{00000000-0008-0000-0200-000076000000}"/>
            </a:ext>
          </a:extLst>
        </xdr:cNvPr>
        <xdr:cNvSpPr>
          <a:spLocks noChangeShapeType="1"/>
        </xdr:cNvSpPr>
      </xdr:nvSpPr>
      <xdr:spPr bwMode="auto">
        <a:xfrm flipH="1">
          <a:off x="800100" y="12949237"/>
          <a:ext cx="428625" cy="314325"/>
        </a:xfrm>
        <a:prstGeom prst="line">
          <a:avLst/>
        </a:prstGeom>
        <a:noFill/>
        <a:ln w="15875">
          <a:solidFill>
            <a:srgbClr val="FF6600"/>
          </a:solidFill>
          <a:round/>
          <a:headEnd/>
          <a:tailEnd type="triangle" w="med" len="med"/>
        </a:ln>
      </xdr:spPr>
    </xdr:sp>
    <xdr:clientData/>
  </xdr:twoCellAnchor>
  <xdr:twoCellAnchor>
    <xdr:from>
      <xdr:col>1</xdr:col>
      <xdr:colOff>114300</xdr:colOff>
      <xdr:row>10</xdr:row>
      <xdr:rowOff>171451</xdr:rowOff>
    </xdr:from>
    <xdr:to>
      <xdr:col>26</xdr:col>
      <xdr:colOff>60325</xdr:colOff>
      <xdr:row>12</xdr:row>
      <xdr:rowOff>44451</xdr:rowOff>
    </xdr:to>
    <xdr:sp macro="" textlink="">
      <xdr:nvSpPr>
        <xdr:cNvPr id="24" name="AutoShape 3">
          <a:extLst>
            <a:ext uri="{FF2B5EF4-FFF2-40B4-BE49-F238E27FC236}">
              <a16:creationId xmlns:a16="http://schemas.microsoft.com/office/drawing/2014/main" id="{00000000-0008-0000-0200-000020000000}"/>
            </a:ext>
          </a:extLst>
        </xdr:cNvPr>
        <xdr:cNvSpPr>
          <a:spLocks noChangeArrowheads="1"/>
        </xdr:cNvSpPr>
      </xdr:nvSpPr>
      <xdr:spPr bwMode="auto">
        <a:xfrm>
          <a:off x="200025" y="2790826"/>
          <a:ext cx="5899150" cy="311150"/>
        </a:xfrm>
        <a:prstGeom prst="roundRect">
          <a:avLst>
            <a:gd name="adj" fmla="val 16667"/>
          </a:avLst>
        </a:prstGeom>
        <a:noFill/>
        <a:ln w="15875" algn="ctr">
          <a:solidFill>
            <a:srgbClr val="FF6600"/>
          </a:solidFill>
          <a:round/>
          <a:headEnd/>
          <a:tailEnd/>
        </a:ln>
      </xdr:spPr>
    </xdr:sp>
    <xdr:clientData/>
  </xdr:twoCellAnchor>
  <xdr:twoCellAnchor>
    <xdr:from>
      <xdr:col>14</xdr:col>
      <xdr:colOff>146048</xdr:colOff>
      <xdr:row>12</xdr:row>
      <xdr:rowOff>63499</xdr:rowOff>
    </xdr:from>
    <xdr:to>
      <xdr:col>20</xdr:col>
      <xdr:colOff>222249</xdr:colOff>
      <xdr:row>13</xdr:row>
      <xdr:rowOff>122237</xdr:rowOff>
    </xdr:to>
    <xdr:sp macro="" textlink="">
      <xdr:nvSpPr>
        <xdr:cNvPr id="25" name="Line 23">
          <a:extLst>
            <a:ext uri="{FF2B5EF4-FFF2-40B4-BE49-F238E27FC236}">
              <a16:creationId xmlns:a16="http://schemas.microsoft.com/office/drawing/2014/main" id="{00000000-0008-0000-0200-000021000000}"/>
            </a:ext>
          </a:extLst>
        </xdr:cNvPr>
        <xdr:cNvSpPr>
          <a:spLocks noChangeShapeType="1"/>
        </xdr:cNvSpPr>
      </xdr:nvSpPr>
      <xdr:spPr bwMode="auto">
        <a:xfrm flipH="1" flipV="1">
          <a:off x="3327398" y="3121024"/>
          <a:ext cx="1504951" cy="268288"/>
        </a:xfrm>
        <a:prstGeom prst="line">
          <a:avLst/>
        </a:prstGeom>
        <a:noFill/>
        <a:ln w="15875">
          <a:solidFill>
            <a:srgbClr val="FF6600"/>
          </a:solidFill>
          <a:round/>
          <a:headEnd/>
          <a:tailEnd type="triangle" w="med" len="med"/>
        </a:ln>
      </xdr:spPr>
    </xdr:sp>
    <xdr:clientData/>
  </xdr:twoCellAnchor>
  <xdr:oneCellAnchor>
    <xdr:from>
      <xdr:col>21</xdr:col>
      <xdr:colOff>1</xdr:colOff>
      <xdr:row>13</xdr:row>
      <xdr:rowOff>17463</xdr:rowOff>
    </xdr:from>
    <xdr:ext cx="1546224" cy="334962"/>
    <xdr:sp macro="" textlink="">
      <xdr:nvSpPr>
        <xdr:cNvPr id="26" name="AutoShape 9">
          <a:extLst>
            <a:ext uri="{FF2B5EF4-FFF2-40B4-BE49-F238E27FC236}">
              <a16:creationId xmlns:a16="http://schemas.microsoft.com/office/drawing/2014/main" id="{00000000-0008-0000-0200-000022000000}"/>
            </a:ext>
          </a:extLst>
        </xdr:cNvPr>
        <xdr:cNvSpPr>
          <a:spLocks noChangeArrowheads="1"/>
        </xdr:cNvSpPr>
      </xdr:nvSpPr>
      <xdr:spPr bwMode="auto">
        <a:xfrm>
          <a:off x="4848226" y="3284538"/>
          <a:ext cx="1546224" cy="334962"/>
        </a:xfrm>
        <a:prstGeom prst="roundRect">
          <a:avLst>
            <a:gd name="adj" fmla="val 16667"/>
          </a:avLst>
        </a:prstGeom>
        <a:solidFill>
          <a:schemeClr val="accent5">
            <a:lumMod val="40000"/>
            <a:lumOff val="60000"/>
          </a:schemeClr>
        </a:solidFill>
        <a:ln w="15875" algn="ctr">
          <a:solidFill>
            <a:srgbClr val="FF6600"/>
          </a:solidFill>
          <a:round/>
          <a:headEnd/>
          <a:tailEnd/>
        </a:ln>
        <a:effectLst/>
      </xdr:spPr>
      <xdr:txBody>
        <a:bodyPr wrap="square" lIns="18288" tIns="18288" rIns="0" bIns="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请选择一种语言</a:t>
          </a:r>
        </a:p>
      </xdr:txBody>
    </xdr:sp>
    <xdr:clientData/>
  </xdr:oneCellAnchor>
  <xdr:oneCellAnchor>
    <xdr:from>
      <xdr:col>21</xdr:col>
      <xdr:colOff>28575</xdr:colOff>
      <xdr:row>8</xdr:row>
      <xdr:rowOff>147638</xdr:rowOff>
    </xdr:from>
    <xdr:ext cx="3286125" cy="576262"/>
    <xdr:sp macro="" textlink="">
      <xdr:nvSpPr>
        <xdr:cNvPr id="27" name="AutoShape 24">
          <a:extLst>
            <a:ext uri="{FF2B5EF4-FFF2-40B4-BE49-F238E27FC236}">
              <a16:creationId xmlns:a16="http://schemas.microsoft.com/office/drawing/2014/main" id="{00000000-0008-0000-0200-000060000000}"/>
            </a:ext>
          </a:extLst>
        </xdr:cNvPr>
        <xdr:cNvSpPr>
          <a:spLocks noChangeArrowheads="1"/>
        </xdr:cNvSpPr>
      </xdr:nvSpPr>
      <xdr:spPr bwMode="auto">
        <a:xfrm>
          <a:off x="4876800" y="2024063"/>
          <a:ext cx="3286125" cy="576262"/>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sz="1100" b="0" i="0" baseline="0">
              <a:solidFill>
                <a:sysClr val="windowText" lastClr="000000"/>
              </a:solidFill>
              <a:effectLst/>
              <a:latin typeface="+mn-lt"/>
              <a:ea typeface="+mn-ea"/>
              <a:cs typeface="+mn-cs"/>
            </a:rPr>
            <a:t>这是美蓓亚三美集团操作的部分。              </a:t>
          </a:r>
        </a:p>
        <a:p>
          <a:pPr rtl="0"/>
          <a:r>
            <a:rPr lang="ja-JP" altLang="en-US" sz="1100" b="0" i="0" baseline="0">
              <a:solidFill>
                <a:sysClr val="windowText" lastClr="000000"/>
              </a:solidFill>
              <a:effectLst/>
              <a:latin typeface="+mn-lt"/>
              <a:ea typeface="+mn-ea"/>
              <a:cs typeface="+mn-cs"/>
            </a:rPr>
            <a:t>请供应商不要进行变更。</a:t>
          </a:r>
          <a:endParaRPr lang="ja-JP" altLang="ja-JP">
            <a:solidFill>
              <a:sysClr val="windowText" lastClr="000000"/>
            </a:solidFill>
            <a:effectLst/>
          </a:endParaRPr>
        </a:p>
      </xdr:txBody>
    </xdr:sp>
    <xdr:clientData/>
  </xdr:oneCellAnchor>
  <xdr:twoCellAnchor>
    <xdr:from>
      <xdr:col>25</xdr:col>
      <xdr:colOff>38098</xdr:colOff>
      <xdr:row>6</xdr:row>
      <xdr:rowOff>90488</xdr:rowOff>
    </xdr:from>
    <xdr:to>
      <xdr:col>27</xdr:col>
      <xdr:colOff>19049</xdr:colOff>
      <xdr:row>8</xdr:row>
      <xdr:rowOff>119062</xdr:rowOff>
    </xdr:to>
    <xdr:sp macro="" textlink="">
      <xdr:nvSpPr>
        <xdr:cNvPr id="28" name="Line 23">
          <a:extLst>
            <a:ext uri="{FF2B5EF4-FFF2-40B4-BE49-F238E27FC236}">
              <a16:creationId xmlns:a16="http://schemas.microsoft.com/office/drawing/2014/main" id="{00000000-0008-0000-0200-000061000000}"/>
            </a:ext>
          </a:extLst>
        </xdr:cNvPr>
        <xdr:cNvSpPr>
          <a:spLocks noChangeShapeType="1"/>
        </xdr:cNvSpPr>
      </xdr:nvSpPr>
      <xdr:spPr bwMode="auto">
        <a:xfrm flipH="1" flipV="1">
          <a:off x="5838823" y="1538288"/>
          <a:ext cx="457201" cy="457199"/>
        </a:xfrm>
        <a:prstGeom prst="line">
          <a:avLst/>
        </a:prstGeom>
        <a:noFill/>
        <a:ln w="15875">
          <a:solidFill>
            <a:srgbClr val="FF6600"/>
          </a:solidFill>
          <a:round/>
          <a:headEnd/>
          <a:tailEnd type="triangle" w="med" len="med"/>
        </a:ln>
      </xdr:spPr>
    </xdr:sp>
    <xdr:clientData/>
  </xdr:twoCellAnchor>
  <xdr:twoCellAnchor>
    <xdr:from>
      <xdr:col>0</xdr:col>
      <xdr:colOff>9525</xdr:colOff>
      <xdr:row>0</xdr:row>
      <xdr:rowOff>119063</xdr:rowOff>
    </xdr:from>
    <xdr:to>
      <xdr:col>32</xdr:col>
      <xdr:colOff>0</xdr:colOff>
      <xdr:row>6</xdr:row>
      <xdr:rowOff>100013</xdr:rowOff>
    </xdr:to>
    <xdr:sp macro="" textlink="">
      <xdr:nvSpPr>
        <xdr:cNvPr id="29" name="AutoShape 3">
          <a:extLst>
            <a:ext uri="{FF2B5EF4-FFF2-40B4-BE49-F238E27FC236}">
              <a16:creationId xmlns:a16="http://schemas.microsoft.com/office/drawing/2014/main" id="{00000000-0008-0000-0200-00005C000000}"/>
            </a:ext>
          </a:extLst>
        </xdr:cNvPr>
        <xdr:cNvSpPr>
          <a:spLocks noChangeArrowheads="1"/>
        </xdr:cNvSpPr>
      </xdr:nvSpPr>
      <xdr:spPr bwMode="auto">
        <a:xfrm>
          <a:off x="9525" y="119063"/>
          <a:ext cx="7496175" cy="1428750"/>
        </a:xfrm>
        <a:prstGeom prst="roundRect">
          <a:avLst>
            <a:gd name="adj" fmla="val 16667"/>
          </a:avLst>
        </a:prstGeom>
        <a:noFill/>
        <a:ln w="15875" algn="ctr">
          <a:solidFill>
            <a:srgbClr val="FF6600"/>
          </a:solidFill>
          <a:round/>
          <a:headEnd/>
          <a:tailEnd/>
        </a:ln>
      </xdr:spPr>
    </xdr:sp>
    <xdr:clientData/>
  </xdr:twoCellAnchor>
  <xdr:oneCellAnchor>
    <xdr:from>
      <xdr:col>9</xdr:col>
      <xdr:colOff>161925</xdr:colOff>
      <xdr:row>69</xdr:row>
      <xdr:rowOff>109538</xdr:rowOff>
    </xdr:from>
    <xdr:ext cx="2914650" cy="1376362"/>
    <xdr:sp macro="" textlink="">
      <xdr:nvSpPr>
        <xdr:cNvPr id="30" name="AutoShape 24">
          <a:extLst>
            <a:ext uri="{FF2B5EF4-FFF2-40B4-BE49-F238E27FC236}">
              <a16:creationId xmlns:a16="http://schemas.microsoft.com/office/drawing/2014/main" id="{00000000-0008-0000-0200-000073000000}"/>
            </a:ext>
          </a:extLst>
        </xdr:cNvPr>
        <xdr:cNvSpPr>
          <a:spLocks noChangeArrowheads="1"/>
        </xdr:cNvSpPr>
      </xdr:nvSpPr>
      <xdr:spPr bwMode="auto">
        <a:xfrm>
          <a:off x="2152650" y="14949488"/>
          <a:ext cx="2914650" cy="1376362"/>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sz="1100" b="1">
              <a:effectLst/>
              <a:latin typeface="+mn-lt"/>
              <a:ea typeface="+mn-ea"/>
              <a:cs typeface="+mn-cs"/>
            </a:rPr>
            <a:t>如符合请填写「○」。</a:t>
          </a:r>
        </a:p>
        <a:p>
          <a:pPr rtl="0"/>
          <a:r>
            <a:rPr lang="ja-JP" altLang="en-US" sz="1100" b="1">
              <a:effectLst/>
              <a:latin typeface="+mn-lt"/>
              <a:ea typeface="+mn-ea"/>
              <a:cs typeface="+mn-cs"/>
            </a:rPr>
            <a:t>另外、如适用除外故意使用</a:t>
          </a:r>
          <a:r>
            <a:rPr lang="en-US" altLang="ja-JP" sz="1100" b="1">
              <a:effectLst/>
              <a:latin typeface="+mn-lt"/>
              <a:ea typeface="+mn-ea"/>
              <a:cs typeface="+mn-cs"/>
            </a:rPr>
            <a:t>/</a:t>
          </a:r>
          <a:r>
            <a:rPr lang="ja-JP" altLang="en-US" sz="1100" b="1">
              <a:effectLst/>
              <a:latin typeface="+mn-lt"/>
              <a:ea typeface="+mn-ea"/>
              <a:cs typeface="+mn-cs"/>
            </a:rPr>
            <a:t>含有也符合、</a:t>
          </a:r>
        </a:p>
        <a:p>
          <a:pPr rtl="0"/>
          <a:r>
            <a:rPr lang="ja-JP" altLang="en-US" sz="1100" b="1">
              <a:effectLst/>
              <a:latin typeface="+mn-lt"/>
              <a:ea typeface="+mn-ea"/>
              <a:cs typeface="+mn-cs"/>
            </a:rPr>
            <a:t>请填写「○」。</a:t>
          </a:r>
        </a:p>
        <a:p>
          <a:pPr rtl="0"/>
          <a:r>
            <a:rPr lang="ja-JP" altLang="en-US" sz="1100" b="1">
              <a:effectLst/>
              <a:latin typeface="+mn-lt"/>
              <a:ea typeface="+mn-ea"/>
              <a:cs typeface="+mn-cs"/>
            </a:rPr>
            <a:t>限制对象以外的用途使用</a:t>
          </a:r>
          <a:r>
            <a:rPr lang="en-US" altLang="ja-JP" sz="1100" b="1">
              <a:effectLst/>
              <a:latin typeface="+mn-lt"/>
              <a:ea typeface="+mn-ea"/>
              <a:cs typeface="+mn-cs"/>
            </a:rPr>
            <a:t>/</a:t>
          </a:r>
          <a:r>
            <a:rPr lang="ja-JP" altLang="en-US" sz="1100" b="1">
              <a:effectLst/>
              <a:latin typeface="+mn-lt"/>
              <a:ea typeface="+mn-ea"/>
              <a:cs typeface="+mn-cs"/>
            </a:rPr>
            <a:t>含有时也符合、</a:t>
          </a:r>
        </a:p>
        <a:p>
          <a:pPr rtl="0"/>
          <a:r>
            <a:rPr lang="ja-JP" altLang="en-US" sz="1100" b="1">
              <a:effectLst/>
              <a:latin typeface="+mn-lt"/>
              <a:ea typeface="+mn-ea"/>
              <a:cs typeface="+mn-cs"/>
            </a:rPr>
            <a:t>请填写「○」。</a:t>
          </a:r>
        </a:p>
      </xdr:txBody>
    </xdr:sp>
    <xdr:clientData/>
  </xdr:oneCellAnchor>
  <xdr:twoCellAnchor>
    <xdr:from>
      <xdr:col>21</xdr:col>
      <xdr:colOff>225426</xdr:colOff>
      <xdr:row>72</xdr:row>
      <xdr:rowOff>180973</xdr:rowOff>
    </xdr:from>
    <xdr:to>
      <xdr:col>27</xdr:col>
      <xdr:colOff>171450</xdr:colOff>
      <xdr:row>74</xdr:row>
      <xdr:rowOff>9524</xdr:rowOff>
    </xdr:to>
    <xdr:sp macro="" textlink="">
      <xdr:nvSpPr>
        <xdr:cNvPr id="31" name="Line 23">
          <a:extLst>
            <a:ext uri="{FF2B5EF4-FFF2-40B4-BE49-F238E27FC236}">
              <a16:creationId xmlns:a16="http://schemas.microsoft.com/office/drawing/2014/main" id="{00000000-0008-0000-0200-000074000000}"/>
            </a:ext>
          </a:extLst>
        </xdr:cNvPr>
        <xdr:cNvSpPr>
          <a:spLocks noChangeShapeType="1"/>
        </xdr:cNvSpPr>
      </xdr:nvSpPr>
      <xdr:spPr bwMode="auto">
        <a:xfrm>
          <a:off x="5073651" y="15487648"/>
          <a:ext cx="1374774" cy="266701"/>
        </a:xfrm>
        <a:prstGeom prst="line">
          <a:avLst/>
        </a:prstGeom>
        <a:noFill/>
        <a:ln w="15875">
          <a:solidFill>
            <a:srgbClr val="FF6600"/>
          </a:solidFill>
          <a:round/>
          <a:headEnd/>
          <a:tailEnd type="triangle" w="med" len="med"/>
        </a:ln>
      </xdr:spPr>
    </xdr:sp>
    <xdr:clientData/>
  </xdr:twoCellAnchor>
  <xdr:oneCellAnchor>
    <xdr:from>
      <xdr:col>3</xdr:col>
      <xdr:colOff>171450</xdr:colOff>
      <xdr:row>38</xdr:row>
      <xdr:rowOff>109538</xdr:rowOff>
    </xdr:from>
    <xdr:ext cx="5753100" cy="595312"/>
    <xdr:sp macro="" textlink="">
      <xdr:nvSpPr>
        <xdr:cNvPr id="32" name="AutoShape 24">
          <a:extLst>
            <a:ext uri="{FF2B5EF4-FFF2-40B4-BE49-F238E27FC236}">
              <a16:creationId xmlns:a16="http://schemas.microsoft.com/office/drawing/2014/main" id="{00000000-0008-0000-0200-000065000000}"/>
            </a:ext>
          </a:extLst>
        </xdr:cNvPr>
        <xdr:cNvSpPr>
          <a:spLocks noChangeArrowheads="1"/>
        </xdr:cNvSpPr>
      </xdr:nvSpPr>
      <xdr:spPr bwMode="auto">
        <a:xfrm>
          <a:off x="733425" y="8662988"/>
          <a:ext cx="5753100" cy="595312"/>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a:solidFill>
                <a:sysClr val="windowText" lastClr="000000"/>
              </a:solidFill>
              <a:effectLst/>
              <a:latin typeface="Microsoft YaHei" panose="020B0503020204020204" pitchFamily="34" charset="-122"/>
              <a:ea typeface="Microsoft YaHei" panose="020B0503020204020204" pitchFamily="34" charset="-122"/>
            </a:rPr>
            <a:t>因为没有指定使用附件</a:t>
          </a:r>
          <a:r>
            <a:rPr lang="en-US" altLang="ja-JP">
              <a:solidFill>
                <a:sysClr val="windowText" lastClr="000000"/>
              </a:solidFill>
              <a:effectLst/>
              <a:latin typeface="Microsoft YaHei" panose="020B0503020204020204" pitchFamily="34" charset="-122"/>
              <a:ea typeface="Microsoft YaHei" panose="020B0503020204020204" pitchFamily="34" charset="-122"/>
            </a:rPr>
            <a:t>1</a:t>
          </a:r>
          <a:r>
            <a:rPr lang="ja-JP" altLang="en-US">
              <a:solidFill>
                <a:sysClr val="windowText" lastClr="000000"/>
              </a:solidFill>
              <a:effectLst/>
              <a:latin typeface="Microsoft YaHei" panose="020B0503020204020204" pitchFamily="34" charset="-122"/>
              <a:ea typeface="Microsoft YaHei" panose="020B0503020204020204" pitchFamily="34" charset="-122"/>
            </a:rPr>
            <a:t>中的顾客要求禁止物质，所以表示不添加附件</a:t>
          </a:r>
          <a:r>
            <a:rPr lang="en-US" altLang="ja-JP">
              <a:solidFill>
                <a:sysClr val="windowText" lastClr="000000"/>
              </a:solidFill>
              <a:effectLst/>
              <a:latin typeface="Microsoft YaHei" panose="020B0503020204020204" pitchFamily="34" charset="-122"/>
              <a:ea typeface="Microsoft YaHei" panose="020B0503020204020204" pitchFamily="34" charset="-122"/>
            </a:rPr>
            <a:t>1</a:t>
          </a:r>
          <a:r>
            <a:rPr lang="ja-JP" altLang="en-US">
              <a:solidFill>
                <a:sysClr val="windowText" lastClr="000000"/>
              </a:solidFill>
              <a:effectLst/>
              <a:latin typeface="Microsoft YaHei" panose="020B0503020204020204" pitchFamily="34" charset="-122"/>
              <a:ea typeface="Microsoft YaHei" panose="020B0503020204020204" pitchFamily="34" charset="-122"/>
            </a:rPr>
            <a:t>。  </a:t>
          </a:r>
        </a:p>
        <a:p>
          <a:pPr rtl="0"/>
          <a:r>
            <a:rPr lang="ja-JP" altLang="en-US">
              <a:solidFill>
                <a:sysClr val="windowText" lastClr="000000"/>
              </a:solidFill>
              <a:effectLst/>
              <a:latin typeface="Microsoft YaHei" panose="020B0503020204020204" pitchFamily="34" charset="-122"/>
              <a:ea typeface="Microsoft YaHei" panose="020B0503020204020204" pitchFamily="34" charset="-122"/>
            </a:rPr>
            <a:t>这并不表示是否有相当于附件</a:t>
          </a:r>
          <a:r>
            <a:rPr lang="en-US" altLang="ja-JP">
              <a:solidFill>
                <a:sysClr val="windowText" lastClr="000000"/>
              </a:solidFill>
              <a:effectLst/>
              <a:latin typeface="Microsoft YaHei" panose="020B0503020204020204" pitchFamily="34" charset="-122"/>
              <a:ea typeface="Microsoft YaHei" panose="020B0503020204020204" pitchFamily="34" charset="-122"/>
            </a:rPr>
            <a:t>1</a:t>
          </a:r>
          <a:r>
            <a:rPr lang="ja-JP" altLang="en-US">
              <a:solidFill>
                <a:sysClr val="windowText" lastClr="000000"/>
              </a:solidFill>
              <a:effectLst/>
              <a:latin typeface="Microsoft YaHei" panose="020B0503020204020204" pitchFamily="34" charset="-122"/>
              <a:ea typeface="Microsoft YaHei" panose="020B0503020204020204" pitchFamily="34" charset="-122"/>
            </a:rPr>
            <a:t>的其他委托书。</a:t>
          </a:r>
          <a:endParaRPr lang="ja-JP" altLang="ja-JP">
            <a:solidFill>
              <a:sysClr val="windowText" lastClr="000000"/>
            </a:solidFill>
            <a:effectLst/>
            <a:latin typeface="Microsoft YaHei" panose="020B0503020204020204" pitchFamily="34" charset="-122"/>
            <a:ea typeface="Microsoft YaHei" panose="020B0503020204020204" pitchFamily="34" charset="-122"/>
          </a:endParaRPr>
        </a:p>
      </xdr:txBody>
    </xdr:sp>
    <xdr:clientData/>
  </xdr:oneCellAnchor>
  <xdr:twoCellAnchor>
    <xdr:from>
      <xdr:col>5</xdr:col>
      <xdr:colOff>168272</xdr:colOff>
      <xdr:row>41</xdr:row>
      <xdr:rowOff>61912</xdr:rowOff>
    </xdr:from>
    <xdr:to>
      <xdr:col>8</xdr:col>
      <xdr:colOff>158750</xdr:colOff>
      <xdr:row>42</xdr:row>
      <xdr:rowOff>52387</xdr:rowOff>
    </xdr:to>
    <xdr:sp macro="" textlink="">
      <xdr:nvSpPr>
        <xdr:cNvPr id="33" name="Line 23">
          <a:extLst>
            <a:ext uri="{FF2B5EF4-FFF2-40B4-BE49-F238E27FC236}">
              <a16:creationId xmlns:a16="http://schemas.microsoft.com/office/drawing/2014/main" id="{00000000-0008-0000-0200-000066000000}"/>
            </a:ext>
          </a:extLst>
        </xdr:cNvPr>
        <xdr:cNvSpPr>
          <a:spLocks noChangeShapeType="1"/>
        </xdr:cNvSpPr>
      </xdr:nvSpPr>
      <xdr:spPr bwMode="auto">
        <a:xfrm flipH="1">
          <a:off x="1206497" y="9158287"/>
          <a:ext cx="704853" cy="171450"/>
        </a:xfrm>
        <a:prstGeom prst="line">
          <a:avLst/>
        </a:prstGeom>
        <a:noFill/>
        <a:ln w="15875">
          <a:solidFill>
            <a:srgbClr val="FF6600"/>
          </a:solidFill>
          <a:round/>
          <a:headEnd/>
          <a:tailEnd type="triangle" w="med" len="med"/>
        </a:ln>
      </xdr:spPr>
    </xdr:sp>
    <xdr:clientData/>
  </xdr:twoCellAnchor>
  <xdr:twoCellAnchor>
    <xdr:from>
      <xdr:col>27</xdr:col>
      <xdr:colOff>228600</xdr:colOff>
      <xdr:row>73</xdr:row>
      <xdr:rowOff>169334</xdr:rowOff>
    </xdr:from>
    <xdr:to>
      <xdr:col>31</xdr:col>
      <xdr:colOff>40218</xdr:colOff>
      <xdr:row>180</xdr:row>
      <xdr:rowOff>57150</xdr:rowOff>
    </xdr:to>
    <xdr:sp macro="" textlink="">
      <xdr:nvSpPr>
        <xdr:cNvPr id="34" name="AutoShape 3">
          <a:extLst>
            <a:ext uri="{FF2B5EF4-FFF2-40B4-BE49-F238E27FC236}">
              <a16:creationId xmlns:a16="http://schemas.microsoft.com/office/drawing/2014/main" id="{00000000-0008-0000-0200-000072000000}"/>
            </a:ext>
          </a:extLst>
        </xdr:cNvPr>
        <xdr:cNvSpPr>
          <a:spLocks noChangeArrowheads="1"/>
        </xdr:cNvSpPr>
      </xdr:nvSpPr>
      <xdr:spPr bwMode="auto">
        <a:xfrm>
          <a:off x="6505575" y="15723659"/>
          <a:ext cx="954618" cy="45188716"/>
        </a:xfrm>
        <a:prstGeom prst="roundRect">
          <a:avLst>
            <a:gd name="adj" fmla="val 16667"/>
          </a:avLst>
        </a:prstGeom>
        <a:noFill/>
        <a:ln w="15875" algn="ctr">
          <a:solidFill>
            <a:srgbClr val="FF66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129540</xdr:colOff>
          <xdr:row>52</xdr:row>
          <xdr:rowOff>106680</xdr:rowOff>
        </xdr:from>
        <xdr:to>
          <xdr:col>5</xdr:col>
          <xdr:colOff>190500</xdr:colOff>
          <xdr:row>54</xdr:row>
          <xdr:rowOff>30480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55</xdr:row>
          <xdr:rowOff>182880</xdr:rowOff>
        </xdr:from>
        <xdr:to>
          <xdr:col>5</xdr:col>
          <xdr:colOff>205740</xdr:colOff>
          <xdr:row>57</xdr:row>
          <xdr:rowOff>30480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57</xdr:row>
          <xdr:rowOff>106680</xdr:rowOff>
        </xdr:from>
        <xdr:to>
          <xdr:col>5</xdr:col>
          <xdr:colOff>190500</xdr:colOff>
          <xdr:row>59</xdr:row>
          <xdr:rowOff>30480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212724</xdr:colOff>
      <xdr:row>21</xdr:row>
      <xdr:rowOff>19050</xdr:rowOff>
    </xdr:from>
    <xdr:to>
      <xdr:col>18</xdr:col>
      <xdr:colOff>76200</xdr:colOff>
      <xdr:row>23</xdr:row>
      <xdr:rowOff>84137</xdr:rowOff>
    </xdr:to>
    <xdr:sp macro="" textlink="">
      <xdr:nvSpPr>
        <xdr:cNvPr id="38" name="Line 23">
          <a:extLst>
            <a:ext uri="{FF2B5EF4-FFF2-40B4-BE49-F238E27FC236}">
              <a16:creationId xmlns:a16="http://schemas.microsoft.com/office/drawing/2014/main" id="{00000000-0008-0000-0200-00005D000000}"/>
            </a:ext>
          </a:extLst>
        </xdr:cNvPr>
        <xdr:cNvSpPr>
          <a:spLocks noChangeShapeType="1"/>
        </xdr:cNvSpPr>
      </xdr:nvSpPr>
      <xdr:spPr bwMode="auto">
        <a:xfrm flipH="1">
          <a:off x="3394074" y="5172075"/>
          <a:ext cx="815976" cy="341312"/>
        </a:xfrm>
        <a:prstGeom prst="line">
          <a:avLst/>
        </a:prstGeom>
        <a:noFill/>
        <a:ln w="15875">
          <a:solidFill>
            <a:srgbClr val="FF6600"/>
          </a:solidFill>
          <a:round/>
          <a:headEnd/>
          <a:tailEnd type="triangle" w="med" len="med"/>
        </a:ln>
      </xdr:spPr>
    </xdr:sp>
    <xdr:clientData/>
  </xdr:twoCellAnchor>
  <xdr:oneCellAnchor>
    <xdr:from>
      <xdr:col>4</xdr:col>
      <xdr:colOff>171450</xdr:colOff>
      <xdr:row>17</xdr:row>
      <xdr:rowOff>152400</xdr:rowOff>
    </xdr:from>
    <xdr:ext cx="5581650" cy="581025"/>
    <xdr:sp macro="" textlink="">
      <xdr:nvSpPr>
        <xdr:cNvPr id="39" name="AutoShape 24"/>
        <xdr:cNvSpPr>
          <a:spLocks noChangeArrowheads="1"/>
        </xdr:cNvSpPr>
      </xdr:nvSpPr>
      <xdr:spPr bwMode="auto">
        <a:xfrm>
          <a:off x="971550" y="4581525"/>
          <a:ext cx="5581650" cy="581025"/>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sz="1100" b="0" i="0" baseline="0">
              <a:effectLst/>
              <a:latin typeface="+mn-lt"/>
              <a:ea typeface="+mn-ea"/>
              <a:cs typeface="+mn-cs"/>
            </a:rPr>
            <a:t>上层：请按照客户填写三美电机株式会社或美蓓亚三美株式会社</a:t>
          </a:r>
        </a:p>
        <a:p>
          <a:pPr rtl="0"/>
          <a:r>
            <a:rPr lang="ja-JP" altLang="en-US" sz="1100" b="0" i="0" baseline="0">
              <a:effectLst/>
              <a:latin typeface="+mn-lt"/>
              <a:ea typeface="+mn-ea"/>
              <a:cs typeface="+mn-cs"/>
            </a:rPr>
            <a:t>下层：请填写美蓓亚三美集团的事业本部、事业部</a:t>
          </a:r>
        </a:p>
        <a:p>
          <a:pPr rtl="0"/>
          <a:r>
            <a:rPr lang="ja-JP" altLang="en-US" sz="1100" b="0" i="0" baseline="0">
              <a:effectLst/>
              <a:latin typeface="+mn-lt"/>
              <a:ea typeface="+mn-ea"/>
              <a:cs typeface="+mn-cs"/>
            </a:rPr>
            <a:t>　</a:t>
          </a:r>
          <a:endParaRPr lang="ja-JP" altLang="ja-JP">
            <a:effectLst/>
          </a:endParaRPr>
        </a:p>
      </xdr:txBody>
    </xdr:sp>
    <xdr:clientData/>
  </xdr:oneCellAnchor>
  <xdr:oneCellAnchor>
    <xdr:from>
      <xdr:col>5</xdr:col>
      <xdr:colOff>221153</xdr:colOff>
      <xdr:row>60</xdr:row>
      <xdr:rowOff>74612</xdr:rowOff>
    </xdr:from>
    <xdr:ext cx="4820747" cy="592137"/>
    <xdr:sp macro="" textlink="">
      <xdr:nvSpPr>
        <xdr:cNvPr id="16" name="AutoShape 24">
          <a:extLst>
            <a:ext uri="{FF2B5EF4-FFF2-40B4-BE49-F238E27FC236}">
              <a16:creationId xmlns:a16="http://schemas.microsoft.com/office/drawing/2014/main" id="{00000000-0008-0000-0200-00006B000000}"/>
            </a:ext>
          </a:extLst>
        </xdr:cNvPr>
        <xdr:cNvSpPr>
          <a:spLocks noChangeArrowheads="1"/>
        </xdr:cNvSpPr>
      </xdr:nvSpPr>
      <xdr:spPr bwMode="auto">
        <a:xfrm>
          <a:off x="1259378" y="12819062"/>
          <a:ext cx="4820747" cy="592137"/>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a:effectLst/>
            </a:rPr>
            <a:t>请在适当的地方打✔（点击就会出现✔） </a:t>
          </a:r>
        </a:p>
        <a:p>
          <a:pPr rtl="0"/>
          <a:r>
            <a:rPr lang="ja-JP" altLang="en-US">
              <a:effectLst/>
            </a:rPr>
            <a:t>因适用除外用途使用禁止物质时请将内容填写到下表</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29</xdr:col>
      <xdr:colOff>219076</xdr:colOff>
      <xdr:row>15</xdr:row>
      <xdr:rowOff>104776</xdr:rowOff>
    </xdr:from>
    <xdr:to>
      <xdr:col>31</xdr:col>
      <xdr:colOff>190500</xdr:colOff>
      <xdr:row>45</xdr:row>
      <xdr:rowOff>338138</xdr:rowOff>
    </xdr:to>
    <xdr:sp macro="" textlink="">
      <xdr:nvSpPr>
        <xdr:cNvPr id="2" name="AutoShape 3">
          <a:extLst>
            <a:ext uri="{FF2B5EF4-FFF2-40B4-BE49-F238E27FC236}">
              <a16:creationId xmlns:a16="http://schemas.microsoft.com/office/drawing/2014/main" id="{00000000-0008-0000-0300-000002000000}"/>
            </a:ext>
          </a:extLst>
        </xdr:cNvPr>
        <xdr:cNvSpPr>
          <a:spLocks noChangeArrowheads="1"/>
        </xdr:cNvSpPr>
      </xdr:nvSpPr>
      <xdr:spPr bwMode="auto">
        <a:xfrm>
          <a:off x="6972301" y="3505201"/>
          <a:ext cx="409574" cy="9263062"/>
        </a:xfrm>
        <a:prstGeom prst="roundRect">
          <a:avLst>
            <a:gd name="adj" fmla="val 16667"/>
          </a:avLst>
        </a:prstGeom>
        <a:solidFill>
          <a:schemeClr val="accent3">
            <a:lumMod val="60000"/>
            <a:lumOff val="40000"/>
            <a:alpha val="40000"/>
          </a:schemeClr>
        </a:solidFill>
        <a:ln w="15875" algn="ctr">
          <a:solidFill>
            <a:srgbClr val="FF0000"/>
          </a:solidFill>
          <a:round/>
          <a:headEnd/>
          <a:tailEnd/>
        </a:ln>
      </xdr:spPr>
    </xdr:sp>
    <xdr:clientData/>
  </xdr:twoCellAnchor>
  <xdr:oneCellAnchor>
    <xdr:from>
      <xdr:col>8</xdr:col>
      <xdr:colOff>142875</xdr:colOff>
      <xdr:row>8</xdr:row>
      <xdr:rowOff>19050</xdr:rowOff>
    </xdr:from>
    <xdr:ext cx="5276850" cy="819151"/>
    <xdr:sp macro="" textlink="">
      <xdr:nvSpPr>
        <xdr:cNvPr id="3" name="AutoShape 24">
          <a:extLst>
            <a:ext uri="{FF2B5EF4-FFF2-40B4-BE49-F238E27FC236}">
              <a16:creationId xmlns:a16="http://schemas.microsoft.com/office/drawing/2014/main" id="{00000000-0008-0000-0300-000003000000}"/>
            </a:ext>
          </a:extLst>
        </xdr:cNvPr>
        <xdr:cNvSpPr>
          <a:spLocks noChangeArrowheads="1"/>
        </xdr:cNvSpPr>
      </xdr:nvSpPr>
      <xdr:spPr bwMode="auto">
        <a:xfrm>
          <a:off x="1895475" y="2286000"/>
          <a:ext cx="5276850" cy="819151"/>
        </a:xfrm>
        <a:prstGeom prst="roundRect">
          <a:avLst>
            <a:gd name="adj" fmla="val 16667"/>
          </a:avLst>
        </a:prstGeom>
        <a:solidFill>
          <a:schemeClr val="accent3">
            <a:lumMod val="60000"/>
            <a:lumOff val="40000"/>
          </a:schemeClr>
        </a:solidFill>
        <a:ln w="15875" algn="ctr">
          <a:solidFill>
            <a:srgbClr val="FF0000"/>
          </a:solidFill>
          <a:round/>
          <a:headEnd/>
          <a:tailEnd/>
        </a:ln>
        <a:effectLst/>
      </xdr:spPr>
      <xdr:txBody>
        <a:bodyPr wrap="none" lIns="18288" tIns="18288" rIns="0" bIns="0" anchor="t" upright="1">
          <a:noAutofit/>
        </a:bodyPr>
        <a:lstStyle/>
        <a:p>
          <a:pPr rtl="0"/>
          <a:r>
            <a:rPr lang="ja-JP" altLang="en-US">
              <a:solidFill>
                <a:sysClr val="windowText" lastClr="000000"/>
              </a:solidFill>
              <a:effectLst/>
              <a:latin typeface="Microsoft YaHei" panose="020B0503020204020204" pitchFamily="34" charset="-122"/>
              <a:ea typeface="Microsoft YaHei" panose="020B0503020204020204" pitchFamily="34" charset="-122"/>
            </a:rPr>
            <a:t>調査</a:t>
          </a:r>
          <a:r>
            <a:rPr lang="ja-JP" altLang="en-US">
              <a:effectLst/>
              <a:latin typeface="Microsoft YaHei" panose="020B0503020204020204" pitchFamily="34" charset="-122"/>
              <a:ea typeface="Microsoft YaHei" panose="020B0503020204020204" pitchFamily="34" charset="-122"/>
            </a:rPr>
            <a:t>対象物質がある場合、ミネベアミツミグループが✔を入れます。</a:t>
          </a:r>
          <a:endParaRPr lang="en-US" altLang="ja-JP">
            <a:effectLst/>
            <a:latin typeface="Microsoft YaHei" panose="020B0503020204020204" pitchFamily="34" charset="-122"/>
            <a:ea typeface="Microsoft YaHei" panose="020B0503020204020204" pitchFamily="34" charset="-122"/>
          </a:endParaRPr>
        </a:p>
        <a:p>
          <a:pPr rtl="0"/>
          <a:r>
            <a:rPr lang="en-US" altLang="ja-JP">
              <a:solidFill>
                <a:srgbClr val="0000FF"/>
              </a:solidFill>
              <a:effectLst/>
              <a:latin typeface="Microsoft YaHei" panose="020B0503020204020204" pitchFamily="34" charset="-122"/>
              <a:ea typeface="Microsoft YaHei" panose="020B0503020204020204" pitchFamily="34" charset="-122"/>
            </a:rPr>
            <a:t>When there is the survey</a:t>
          </a:r>
          <a:r>
            <a:rPr lang="ja-JP" altLang="en-US" baseline="0">
              <a:solidFill>
                <a:srgbClr val="0000FF"/>
              </a:solidFill>
              <a:effectLst/>
              <a:latin typeface="Microsoft YaHei" panose="020B0503020204020204" pitchFamily="34" charset="-122"/>
              <a:ea typeface="Microsoft YaHei" panose="020B0503020204020204" pitchFamily="34" charset="-122"/>
            </a:rPr>
            <a:t> </a:t>
          </a:r>
          <a:r>
            <a:rPr lang="en-US" altLang="ja-JP">
              <a:solidFill>
                <a:srgbClr val="0000FF"/>
              </a:solidFill>
              <a:effectLst/>
              <a:latin typeface="Microsoft YaHei" panose="020B0503020204020204" pitchFamily="34" charset="-122"/>
              <a:ea typeface="Microsoft YaHei" panose="020B0503020204020204" pitchFamily="34" charset="-122"/>
            </a:rPr>
            <a:t>target substance, MinebeaMitsumi Group puts</a:t>
          </a:r>
          <a:r>
            <a:rPr lang="ja-JP" altLang="en-US">
              <a:solidFill>
                <a:srgbClr val="0000FF"/>
              </a:solidFill>
              <a:effectLst/>
              <a:latin typeface="Microsoft YaHei" panose="020B0503020204020204" pitchFamily="34" charset="-122"/>
              <a:ea typeface="Microsoft YaHei" panose="020B0503020204020204" pitchFamily="34" charset="-122"/>
            </a:rPr>
            <a:t> ✔</a:t>
          </a:r>
          <a:r>
            <a:rPr lang="en-US" altLang="ja-JP">
              <a:solidFill>
                <a:srgbClr val="0000FF"/>
              </a:solidFill>
              <a:effectLst/>
              <a:latin typeface="Microsoft YaHei" panose="020B0503020204020204" pitchFamily="34" charset="-122"/>
              <a:ea typeface="Microsoft YaHei" panose="020B0503020204020204" pitchFamily="34" charset="-122"/>
            </a:rPr>
            <a:t>.</a:t>
          </a:r>
        </a:p>
        <a:p>
          <a:pPr marL="0" marR="0" lvl="0" indent="0" defTabSz="914400" rtl="0" eaLnBrk="1" fontAlgn="auto" latinLnBrk="0" hangingPunct="1">
            <a:lnSpc>
              <a:spcPct val="100000"/>
            </a:lnSpc>
            <a:spcBef>
              <a:spcPts val="0"/>
            </a:spcBef>
            <a:spcAft>
              <a:spcPts val="0"/>
            </a:spcAft>
            <a:buClrTx/>
            <a:buSzTx/>
            <a:buFontTx/>
            <a:buNone/>
            <a:tabLst/>
            <a:defRPr/>
          </a:pPr>
          <a:r>
            <a:rPr lang="zh-CN" altLang="ja-JP" sz="1100">
              <a:solidFill>
                <a:srgbClr val="C00000"/>
              </a:solidFill>
              <a:effectLst/>
              <a:latin typeface="Microsoft YaHei" panose="020B0503020204020204" pitchFamily="34" charset="-122"/>
              <a:ea typeface="Microsoft YaHei" panose="020B0503020204020204" pitchFamily="34" charset="-122"/>
              <a:cs typeface="+mn-cs"/>
            </a:rPr>
            <a:t>如有美蓓亚三美集团的</a:t>
          </a:r>
          <a:r>
            <a:rPr lang="zh-CN" altLang="en-US" sz="1100">
              <a:solidFill>
                <a:srgbClr val="C00000"/>
              </a:solidFill>
              <a:effectLst/>
              <a:latin typeface="Microsoft YaHei" panose="020B0503020204020204" pitchFamily="34" charset="-122"/>
              <a:ea typeface="Microsoft YaHei" panose="020B0503020204020204" pitchFamily="34" charset="-122"/>
              <a:cs typeface="+mn-cs"/>
            </a:rPr>
            <a:t>调查</a:t>
          </a:r>
          <a:r>
            <a:rPr lang="zh-CN" altLang="ja-JP" sz="1100">
              <a:solidFill>
                <a:srgbClr val="C00000"/>
              </a:solidFill>
              <a:effectLst/>
              <a:latin typeface="Microsoft YaHei" panose="020B0503020204020204" pitchFamily="34" charset="-122"/>
              <a:ea typeface="Microsoft YaHei" panose="020B0503020204020204" pitchFamily="34" charset="-122"/>
              <a:cs typeface="+mn-cs"/>
            </a:rPr>
            <a:t>对象物质请打 </a:t>
          </a:r>
          <a:r>
            <a:rPr lang="en-US" altLang="ja-JP" sz="1100">
              <a:solidFill>
                <a:srgbClr val="C00000"/>
              </a:solidFill>
              <a:effectLst/>
              <a:latin typeface="Microsoft YaHei" panose="020B0503020204020204" pitchFamily="34" charset="-122"/>
              <a:ea typeface="Microsoft YaHei" panose="020B0503020204020204" pitchFamily="34" charset="-122"/>
              <a:cs typeface="+mn-cs"/>
            </a:rPr>
            <a:t>"✔" </a:t>
          </a:r>
          <a:r>
            <a:rPr lang="ja-JP" altLang="ja-JP" sz="1100">
              <a:solidFill>
                <a:srgbClr val="C00000"/>
              </a:solidFill>
              <a:effectLst/>
              <a:latin typeface="Microsoft YaHei" panose="020B0503020204020204" pitchFamily="34" charset="-122"/>
              <a:ea typeface="Microsoft YaHei" panose="020B0503020204020204" pitchFamily="34" charset="-122"/>
              <a:cs typeface="+mn-cs"/>
            </a:rPr>
            <a:t>。</a:t>
          </a:r>
          <a:endParaRPr lang="ja-JP" altLang="ja-JP">
            <a:solidFill>
              <a:srgbClr val="C00000"/>
            </a:solidFill>
            <a:effectLst/>
            <a:latin typeface="Microsoft YaHei" panose="020B0503020204020204" pitchFamily="34" charset="-122"/>
            <a:ea typeface="Microsoft YaHei" panose="020B0503020204020204" pitchFamily="34" charset="-122"/>
          </a:endParaRPr>
        </a:p>
        <a:p>
          <a:pPr marL="0" marR="0" lvl="0" indent="0" defTabSz="914400" rtl="0" eaLnBrk="1" fontAlgn="auto" latinLnBrk="0" hangingPunct="1">
            <a:lnSpc>
              <a:spcPct val="100000"/>
            </a:lnSpc>
            <a:spcBef>
              <a:spcPts val="0"/>
            </a:spcBef>
            <a:spcAft>
              <a:spcPts val="0"/>
            </a:spcAft>
            <a:buClrTx/>
            <a:buSzTx/>
            <a:buFontTx/>
            <a:buNone/>
            <a:tabLst/>
            <a:defRPr/>
          </a:pPr>
          <a:endParaRPr lang="ja-JP" altLang="ja-JP">
            <a:effectLst/>
          </a:endParaRPr>
        </a:p>
        <a:p>
          <a:pPr rtl="0"/>
          <a:endParaRPr lang="en-US" altLang="ja-JP">
            <a:solidFill>
              <a:srgbClr val="0000FF"/>
            </a:solidFill>
            <a:effectLst/>
          </a:endParaRPr>
        </a:p>
        <a:p>
          <a:pPr rtl="0"/>
          <a:endParaRPr lang="ja-JP" altLang="ja-JP">
            <a:effectLst/>
          </a:endParaRPr>
        </a:p>
      </xdr:txBody>
    </xdr:sp>
    <xdr:clientData/>
  </xdr:oneCellAnchor>
  <xdr:twoCellAnchor>
    <xdr:from>
      <xdr:col>28</xdr:col>
      <xdr:colOff>76200</xdr:colOff>
      <xdr:row>13</xdr:row>
      <xdr:rowOff>90487</xdr:rowOff>
    </xdr:from>
    <xdr:to>
      <xdr:col>31</xdr:col>
      <xdr:colOff>0</xdr:colOff>
      <xdr:row>15</xdr:row>
      <xdr:rowOff>80962</xdr:rowOff>
    </xdr:to>
    <xdr:sp macro="" textlink="">
      <xdr:nvSpPr>
        <xdr:cNvPr id="4" name="Line 23">
          <a:extLst>
            <a:ext uri="{FF2B5EF4-FFF2-40B4-BE49-F238E27FC236}">
              <a16:creationId xmlns:a16="http://schemas.microsoft.com/office/drawing/2014/main" id="{00000000-0008-0000-0300-000004000000}"/>
            </a:ext>
          </a:extLst>
        </xdr:cNvPr>
        <xdr:cNvSpPr>
          <a:spLocks noChangeShapeType="1"/>
        </xdr:cNvSpPr>
      </xdr:nvSpPr>
      <xdr:spPr bwMode="auto">
        <a:xfrm>
          <a:off x="6591300" y="3090862"/>
          <a:ext cx="600075" cy="390525"/>
        </a:xfrm>
        <a:prstGeom prst="line">
          <a:avLst/>
        </a:prstGeom>
        <a:noFill/>
        <a:ln w="15875">
          <a:solidFill>
            <a:srgbClr val="FF0000"/>
          </a:solidFill>
          <a:round/>
          <a:headEnd/>
          <a:tailEnd type="triangle" w="med" len="med"/>
        </a:ln>
      </xdr:spPr>
    </xdr:sp>
    <xdr:clientData/>
  </xdr:twoCellAnchor>
  <xdr:oneCellAnchor>
    <xdr:from>
      <xdr:col>1</xdr:col>
      <xdr:colOff>228600</xdr:colOff>
      <xdr:row>0</xdr:row>
      <xdr:rowOff>38100</xdr:rowOff>
    </xdr:from>
    <xdr:ext cx="11734800" cy="1333500"/>
    <xdr:sp macro="" textlink="">
      <xdr:nvSpPr>
        <xdr:cNvPr id="5" name="AutoShape 24">
          <a:extLst>
            <a:ext uri="{FF2B5EF4-FFF2-40B4-BE49-F238E27FC236}">
              <a16:creationId xmlns:a16="http://schemas.microsoft.com/office/drawing/2014/main" id="{00000000-0008-0000-0300-000005000000}"/>
            </a:ext>
          </a:extLst>
        </xdr:cNvPr>
        <xdr:cNvSpPr>
          <a:spLocks noChangeArrowheads="1"/>
        </xdr:cNvSpPr>
      </xdr:nvSpPr>
      <xdr:spPr bwMode="auto">
        <a:xfrm>
          <a:off x="314325" y="38100"/>
          <a:ext cx="11734800" cy="1333500"/>
        </a:xfrm>
        <a:prstGeom prst="roundRect">
          <a:avLst>
            <a:gd name="adj" fmla="val 16667"/>
          </a:avLst>
        </a:prstGeom>
        <a:solidFill>
          <a:schemeClr val="accent3">
            <a:lumMod val="60000"/>
            <a:lumOff val="40000"/>
          </a:schemeClr>
        </a:solidFill>
        <a:ln w="15875" algn="ctr">
          <a:solidFill>
            <a:srgbClr val="FF0000"/>
          </a:solidFill>
          <a:round/>
          <a:headEnd/>
          <a:tailEnd/>
        </a:ln>
        <a:effectLst/>
      </xdr:spPr>
      <xdr:txBody>
        <a:bodyPr wrap="none" lIns="18288" tIns="18288" rIns="0" bIns="0" anchor="t" upright="1">
          <a:noAutofit/>
        </a:bodyPr>
        <a:lstStyle/>
        <a:p>
          <a:pPr rtl="0"/>
          <a:r>
            <a:rPr lang="ja-JP" altLang="en-US">
              <a:solidFill>
                <a:sysClr val="windowText" lastClr="000000"/>
              </a:solidFill>
              <a:effectLst/>
              <a:latin typeface="Microsoft YaHei" panose="020B0503020204020204" pitchFamily="34" charset="-122"/>
              <a:ea typeface="Microsoft YaHei" panose="020B0503020204020204" pitchFamily="34" charset="-122"/>
            </a:rPr>
            <a:t>この別紙は禁止物質不使用証明書の”ミネベアミツミグループよりお取引様へ”の</a:t>
          </a:r>
          <a:r>
            <a:rPr lang="en-US" altLang="ja-JP">
              <a:solidFill>
                <a:sysClr val="windowText" lastClr="000000"/>
              </a:solidFill>
              <a:effectLst/>
              <a:latin typeface="Microsoft YaHei" panose="020B0503020204020204" pitchFamily="34" charset="-122"/>
              <a:ea typeface="Microsoft YaHei" panose="020B0503020204020204" pitchFamily="34" charset="-122"/>
            </a:rPr>
            <a:t>2</a:t>
          </a:r>
          <a:r>
            <a:rPr lang="ja-JP" altLang="en-US">
              <a:solidFill>
                <a:sysClr val="windowText" lastClr="000000"/>
              </a:solidFill>
              <a:effectLst/>
              <a:latin typeface="Microsoft YaHei" panose="020B0503020204020204" pitchFamily="34" charset="-122"/>
              <a:ea typeface="Microsoft YaHei" panose="020B0503020204020204" pitchFamily="34" charset="-122"/>
            </a:rPr>
            <a:t>項にて</a:t>
          </a:r>
          <a:endParaRPr lang="en-US" altLang="ja-JP">
            <a:solidFill>
              <a:sysClr val="windowText" lastClr="000000"/>
            </a:solidFill>
            <a:effectLst/>
            <a:latin typeface="Microsoft YaHei" panose="020B0503020204020204" pitchFamily="34" charset="-122"/>
            <a:ea typeface="Microsoft YaHei" panose="020B0503020204020204" pitchFamily="34" charset="-122"/>
          </a:endParaRPr>
        </a:p>
        <a:p>
          <a:pPr rtl="0"/>
          <a:r>
            <a:rPr lang="ja-JP" altLang="en-US">
              <a:solidFill>
                <a:sysClr val="windowText" lastClr="000000"/>
              </a:solidFill>
              <a:effectLst/>
              <a:latin typeface="Microsoft YaHei" panose="020B0503020204020204" pitchFamily="34" charset="-122"/>
              <a:ea typeface="Microsoft YaHei" panose="020B0503020204020204" pitchFamily="34" charset="-122"/>
            </a:rPr>
            <a:t>「顧客要求禁止物質を指定しますので、別紙</a:t>
          </a:r>
          <a:r>
            <a:rPr lang="en-US" altLang="ja-JP">
              <a:solidFill>
                <a:sysClr val="windowText" lastClr="000000"/>
              </a:solidFill>
              <a:effectLst/>
              <a:latin typeface="Microsoft YaHei" panose="020B0503020204020204" pitchFamily="34" charset="-122"/>
              <a:ea typeface="Microsoft YaHei" panose="020B0503020204020204" pitchFamily="34" charset="-122"/>
            </a:rPr>
            <a:t>1</a:t>
          </a:r>
          <a:r>
            <a:rPr lang="ja-JP" altLang="en-US">
              <a:solidFill>
                <a:sysClr val="windowText" lastClr="000000"/>
              </a:solidFill>
              <a:effectLst/>
              <a:latin typeface="Microsoft YaHei" panose="020B0503020204020204" pitchFamily="34" charset="-122"/>
              <a:ea typeface="Microsoft YaHei" panose="020B0503020204020204" pitchFamily="34" charset="-122"/>
            </a:rPr>
            <a:t>の提出をお願いします」の記載があった場合、提出をお願いします。</a:t>
          </a:r>
          <a:endParaRPr lang="en-US" altLang="ja-JP">
            <a:solidFill>
              <a:sysClr val="windowText" lastClr="000000"/>
            </a:solidFill>
            <a:effectLst/>
            <a:latin typeface="Microsoft YaHei" panose="020B0503020204020204" pitchFamily="34" charset="-122"/>
            <a:ea typeface="Microsoft YaHei" panose="020B0503020204020204" pitchFamily="34" charset="-122"/>
          </a:endParaRPr>
        </a:p>
        <a:p>
          <a:pPr rtl="0"/>
          <a:r>
            <a:rPr lang="en-US" altLang="ja-JP">
              <a:solidFill>
                <a:srgbClr val="0000FF"/>
              </a:solidFill>
              <a:effectLst/>
              <a:latin typeface="Microsoft YaHei" panose="020B0503020204020204" pitchFamily="34" charset="-122"/>
              <a:ea typeface="Microsoft YaHei" panose="020B0503020204020204" pitchFamily="34" charset="-122"/>
            </a:rPr>
            <a:t>please submit this separate sheet</a:t>
          </a:r>
          <a:r>
            <a:rPr lang="en-US" altLang="ja-JP" baseline="0">
              <a:solidFill>
                <a:srgbClr val="0000FF"/>
              </a:solidFill>
              <a:effectLst/>
              <a:latin typeface="Microsoft YaHei" panose="020B0503020204020204" pitchFamily="34" charset="-122"/>
              <a:ea typeface="Microsoft YaHei" panose="020B0503020204020204" pitchFamily="34" charset="-122"/>
            </a:rPr>
            <a:t> when</a:t>
          </a:r>
          <a:r>
            <a:rPr lang="en-US" altLang="ja-JP">
              <a:solidFill>
                <a:srgbClr val="0000FF"/>
              </a:solidFill>
              <a:effectLst/>
              <a:latin typeface="Microsoft YaHei" panose="020B0503020204020204" pitchFamily="34" charset="-122"/>
              <a:ea typeface="Microsoft YaHei" panose="020B0503020204020204" pitchFamily="34" charset="-122"/>
            </a:rPr>
            <a:t> the description of "Please submit Attachment 1 since MinebeaMitsumi has specified prohibited substances requested by customers." </a:t>
          </a:r>
        </a:p>
        <a:p>
          <a:pPr rtl="0"/>
          <a:r>
            <a:rPr lang="en-US" altLang="ja-JP">
              <a:solidFill>
                <a:srgbClr val="0000FF"/>
              </a:solidFill>
              <a:effectLst/>
              <a:latin typeface="Microsoft YaHei" panose="020B0503020204020204" pitchFamily="34" charset="-122"/>
              <a:ea typeface="Microsoft YaHei" panose="020B0503020204020204" pitchFamily="34" charset="-122"/>
            </a:rPr>
            <a:t>is displayed in paragraph 2 of "From MinebeaMitsumi Group to Business partner" of the Certificate of Non-use of prohibited Substance.</a:t>
          </a:r>
        </a:p>
        <a:p>
          <a:pPr rtl="0"/>
          <a:r>
            <a:rPr lang="en-US" altLang="ja-JP">
              <a:solidFill>
                <a:srgbClr val="0000FF"/>
              </a:solidFill>
              <a:effectLst/>
              <a:latin typeface="Microsoft YaHei" panose="020B0503020204020204" pitchFamily="34" charset="-122"/>
              <a:ea typeface="Microsoft YaHei" panose="020B0503020204020204" pitchFamily="34" charset="-122"/>
            </a:rPr>
            <a:t> </a:t>
          </a:r>
          <a:r>
            <a:rPr lang="zh-CN" altLang="en-US" sz="1100">
              <a:solidFill>
                <a:srgbClr val="C00000"/>
              </a:solidFill>
              <a:effectLst/>
              <a:latin typeface="Microsoft YaHei" panose="020B0503020204020204" pitchFamily="34" charset="-122"/>
              <a:ea typeface="Microsoft YaHei" panose="020B0503020204020204" pitchFamily="34" charset="-122"/>
              <a:cs typeface="+mn-cs"/>
            </a:rPr>
            <a:t>在禁用物质不使用证明书的“从美蓓亚三美集团到供应商”的</a:t>
          </a:r>
          <a:r>
            <a:rPr lang="en-US" altLang="zh-CN" sz="1100">
              <a:solidFill>
                <a:srgbClr val="C00000"/>
              </a:solidFill>
              <a:effectLst/>
              <a:latin typeface="Microsoft YaHei" panose="020B0503020204020204" pitchFamily="34" charset="-122"/>
              <a:ea typeface="Microsoft YaHei" panose="020B0503020204020204" pitchFamily="34" charset="-122"/>
              <a:cs typeface="+mn-cs"/>
            </a:rPr>
            <a:t>2</a:t>
          </a:r>
          <a:r>
            <a:rPr lang="zh-CN" altLang="en-US" sz="1100">
              <a:solidFill>
                <a:srgbClr val="C00000"/>
              </a:solidFill>
              <a:effectLst/>
              <a:latin typeface="Microsoft YaHei" panose="020B0503020204020204" pitchFamily="34" charset="-122"/>
              <a:ea typeface="Microsoft YaHei" panose="020B0503020204020204" pitchFamily="34" charset="-122"/>
              <a:cs typeface="+mn-cs"/>
            </a:rPr>
            <a:t>项中记载了「因为指定了顾客要求的禁止物质，所以请提交附件</a:t>
          </a:r>
          <a:r>
            <a:rPr lang="en-US" altLang="zh-CN" sz="1100">
              <a:solidFill>
                <a:srgbClr val="C00000"/>
              </a:solidFill>
              <a:effectLst/>
              <a:latin typeface="Microsoft YaHei" panose="020B0503020204020204" pitchFamily="34" charset="-122"/>
              <a:ea typeface="Microsoft YaHei" panose="020B0503020204020204" pitchFamily="34" charset="-122"/>
              <a:cs typeface="+mn-cs"/>
            </a:rPr>
            <a:t>1</a:t>
          </a:r>
          <a:r>
            <a:rPr lang="zh-CN" altLang="en-US" sz="1100">
              <a:solidFill>
                <a:srgbClr val="C00000"/>
              </a:solidFill>
              <a:effectLst/>
              <a:latin typeface="Microsoft YaHei" panose="020B0503020204020204" pitchFamily="34" charset="-122"/>
              <a:ea typeface="Microsoft YaHei" panose="020B0503020204020204" pitchFamily="34" charset="-122"/>
              <a:cs typeface="+mn-cs"/>
            </a:rPr>
            <a:t>」时，要提交此附件。</a:t>
          </a:r>
          <a:endParaRPr lang="ja-JP" altLang="ja-JP">
            <a:solidFill>
              <a:srgbClr val="C00000"/>
            </a:solidFill>
            <a:effectLst/>
            <a:latin typeface="Microsoft YaHei" panose="020B0503020204020204" pitchFamily="34" charset="-122"/>
            <a:ea typeface="Microsoft YaHei" panose="020B0503020204020204" pitchFamily="34" charset="-122"/>
          </a:endParaRPr>
        </a:p>
        <a:p>
          <a:pPr rtl="0"/>
          <a:endParaRPr lang="en-US" altLang="ja-JP">
            <a:effectLst/>
          </a:endParaRPr>
        </a:p>
        <a:p>
          <a:pPr rtl="0"/>
          <a:endParaRPr lang="ja-JP" altLang="ja-JP">
            <a:effectLst/>
          </a:endParaRPr>
        </a:p>
      </xdr:txBody>
    </xdr:sp>
    <xdr:clientData/>
  </xdr:oneCellAnchor>
  <xdr:twoCellAnchor>
    <xdr:from>
      <xdr:col>32</xdr:col>
      <xdr:colOff>10624</xdr:colOff>
      <xdr:row>15</xdr:row>
      <xdr:rowOff>100014</xdr:rowOff>
    </xdr:from>
    <xdr:to>
      <xdr:col>34</xdr:col>
      <xdr:colOff>20148</xdr:colOff>
      <xdr:row>45</xdr:row>
      <xdr:rowOff>333375</xdr:rowOff>
    </xdr:to>
    <xdr:sp macro="" textlink="">
      <xdr:nvSpPr>
        <xdr:cNvPr id="6" name="AutoShape 3">
          <a:extLst>
            <a:ext uri="{FF2B5EF4-FFF2-40B4-BE49-F238E27FC236}">
              <a16:creationId xmlns:a16="http://schemas.microsoft.com/office/drawing/2014/main" id="{00000000-0008-0000-0300-000002000000}"/>
            </a:ext>
          </a:extLst>
        </xdr:cNvPr>
        <xdr:cNvSpPr>
          <a:spLocks noChangeArrowheads="1"/>
        </xdr:cNvSpPr>
      </xdr:nvSpPr>
      <xdr:spPr bwMode="auto">
        <a:xfrm>
          <a:off x="7402024" y="3500439"/>
          <a:ext cx="409574" cy="9263061"/>
        </a:xfrm>
        <a:prstGeom prst="roundRect">
          <a:avLst>
            <a:gd name="adj" fmla="val 16667"/>
          </a:avLst>
        </a:prstGeom>
        <a:solidFill>
          <a:schemeClr val="accent3">
            <a:lumMod val="60000"/>
            <a:lumOff val="40000"/>
            <a:alpha val="40000"/>
          </a:schemeClr>
        </a:solidFill>
        <a:ln w="15875" algn="ctr">
          <a:solidFill>
            <a:srgbClr val="FF0000"/>
          </a:solidFill>
          <a:round/>
          <a:headEnd/>
          <a:tailEnd/>
        </a:ln>
      </xdr:spPr>
    </xdr:sp>
    <xdr:clientData/>
  </xdr:twoCellAnchor>
  <xdr:oneCellAnchor>
    <xdr:from>
      <xdr:col>35</xdr:col>
      <xdr:colOff>285750</xdr:colOff>
      <xdr:row>7</xdr:row>
      <xdr:rowOff>395288</xdr:rowOff>
    </xdr:from>
    <xdr:ext cx="7010400" cy="3090862"/>
    <xdr:sp macro="" textlink="">
      <xdr:nvSpPr>
        <xdr:cNvPr id="7" name="AutoShape 24">
          <a:extLst>
            <a:ext uri="{FF2B5EF4-FFF2-40B4-BE49-F238E27FC236}">
              <a16:creationId xmlns:a16="http://schemas.microsoft.com/office/drawing/2014/main" id="{00000000-0008-0000-0300-000003000000}"/>
            </a:ext>
          </a:extLst>
        </xdr:cNvPr>
        <xdr:cNvSpPr>
          <a:spLocks noChangeArrowheads="1"/>
        </xdr:cNvSpPr>
      </xdr:nvSpPr>
      <xdr:spPr bwMode="auto">
        <a:xfrm>
          <a:off x="8181975" y="2224088"/>
          <a:ext cx="7010400" cy="3090862"/>
        </a:xfrm>
        <a:prstGeom prst="roundRect">
          <a:avLst>
            <a:gd name="adj" fmla="val 16667"/>
          </a:avLst>
        </a:prstGeom>
        <a:solidFill>
          <a:schemeClr val="accent3">
            <a:lumMod val="60000"/>
            <a:lumOff val="40000"/>
          </a:schemeClr>
        </a:solidFill>
        <a:ln w="15875" algn="ctr">
          <a:solidFill>
            <a:srgbClr val="FF0000"/>
          </a:solidFill>
          <a:round/>
          <a:headEnd/>
          <a:tailEnd/>
        </a:ln>
        <a:effectLst/>
      </xdr:spPr>
      <xdr:txBody>
        <a:bodyPr wrap="none" lIns="18288" tIns="18288" rIns="0" bIns="0" anchor="t" upright="1">
          <a:noAutofit/>
        </a:bodyPr>
        <a:lstStyle/>
        <a:p>
          <a:pPr rtl="0"/>
          <a:r>
            <a:rPr lang="ja-JP" altLang="en-US" sz="1100" b="0">
              <a:solidFill>
                <a:sysClr val="windowText" lastClr="000000"/>
              </a:solidFill>
              <a:effectLst/>
              <a:latin typeface="Microsoft YaHei" panose="020B0503020204020204" pitchFamily="34" charset="-122"/>
              <a:ea typeface="Microsoft YaHei" panose="020B0503020204020204" pitchFamily="34" charset="-122"/>
              <a:cs typeface="+mn-cs"/>
            </a:rPr>
            <a:t>調査対象物質について</a:t>
          </a:r>
          <a:r>
            <a:rPr lang="ja-JP" altLang="ja-JP" sz="1100" b="1">
              <a:solidFill>
                <a:sysClr val="windowText" lastClr="000000"/>
              </a:solidFill>
              <a:effectLst/>
              <a:latin typeface="Microsoft YaHei" panose="020B0503020204020204" pitchFamily="34" charset="-122"/>
              <a:ea typeface="Microsoft YaHei" panose="020B0503020204020204" pitchFamily="34" charset="-122"/>
              <a:cs typeface="+mn-cs"/>
            </a:rPr>
            <a:t>適合する</a:t>
          </a:r>
          <a:r>
            <a:rPr lang="ja-JP" altLang="ja-JP" sz="1100">
              <a:solidFill>
                <a:sysClr val="windowText" lastClr="000000"/>
              </a:solidFill>
              <a:effectLst/>
              <a:latin typeface="Microsoft YaHei" panose="020B0503020204020204" pitchFamily="34" charset="-122"/>
              <a:ea typeface="Microsoft YaHei" panose="020B0503020204020204" pitchFamily="34" charset="-122"/>
              <a:cs typeface="+mn-cs"/>
            </a:rPr>
            <a:t>場合は「○」の記入をお願い致します。</a:t>
          </a:r>
          <a:endParaRPr lang="ja-JP" altLang="ja-JP">
            <a:solidFill>
              <a:sysClr val="windowText" lastClr="000000"/>
            </a:solidFill>
            <a:effectLst/>
            <a:latin typeface="Microsoft YaHei" panose="020B0503020204020204" pitchFamily="34" charset="-122"/>
            <a:ea typeface="Microsoft YaHei" panose="020B0503020204020204" pitchFamily="34" charset="-122"/>
          </a:endParaRPr>
        </a:p>
        <a:p>
          <a:pPr rtl="0"/>
          <a:r>
            <a:rPr lang="ja-JP" altLang="ja-JP" sz="1100">
              <a:solidFill>
                <a:sysClr val="windowText" lastClr="000000"/>
              </a:solidFill>
              <a:effectLst/>
              <a:latin typeface="Microsoft YaHei" panose="020B0503020204020204" pitchFamily="34" charset="-122"/>
              <a:ea typeface="Microsoft YaHei" panose="020B0503020204020204" pitchFamily="34" charset="-122"/>
              <a:cs typeface="+mn-cs"/>
            </a:rPr>
            <a:t>尚、適用除外用途で意図的に</a:t>
          </a:r>
          <a:r>
            <a:rPr lang="ja-JP" altLang="ja-JP" sz="1100" b="1">
              <a:solidFill>
                <a:sysClr val="windowText" lastClr="000000"/>
              </a:solidFill>
              <a:effectLst/>
              <a:latin typeface="Microsoft YaHei" panose="020B0503020204020204" pitchFamily="34" charset="-122"/>
              <a:ea typeface="Microsoft YaHei" panose="020B0503020204020204" pitchFamily="34" charset="-122"/>
              <a:cs typeface="+mn-cs"/>
            </a:rPr>
            <a:t>使用</a:t>
          </a:r>
          <a:r>
            <a:rPr lang="en-US" altLang="ja-JP" sz="1100" b="1">
              <a:solidFill>
                <a:sysClr val="windowText" lastClr="000000"/>
              </a:solidFill>
              <a:effectLst/>
              <a:latin typeface="Microsoft YaHei" panose="020B0503020204020204" pitchFamily="34" charset="-122"/>
              <a:ea typeface="Microsoft YaHei" panose="020B0503020204020204" pitchFamily="34" charset="-122"/>
              <a:cs typeface="+mn-cs"/>
            </a:rPr>
            <a:t>/</a:t>
          </a:r>
          <a:r>
            <a:rPr lang="ja-JP" altLang="ja-JP" sz="1100">
              <a:solidFill>
                <a:sysClr val="windowText" lastClr="000000"/>
              </a:solidFill>
              <a:effectLst/>
              <a:latin typeface="Microsoft YaHei" panose="020B0503020204020204" pitchFamily="34" charset="-122"/>
              <a:ea typeface="Microsoft YaHei" panose="020B0503020204020204" pitchFamily="34" charset="-122"/>
              <a:cs typeface="+mn-cs"/>
            </a:rPr>
            <a:t>含有している場合も</a:t>
          </a:r>
          <a:r>
            <a:rPr lang="ja-JP" altLang="ja-JP" sz="1100" b="1">
              <a:solidFill>
                <a:sysClr val="windowText" lastClr="000000"/>
              </a:solidFill>
              <a:effectLst/>
              <a:latin typeface="Microsoft YaHei" panose="020B0503020204020204" pitchFamily="34" charset="-122"/>
              <a:ea typeface="Microsoft YaHei" panose="020B0503020204020204" pitchFamily="34" charset="-122"/>
              <a:cs typeface="+mn-cs"/>
            </a:rPr>
            <a:t>適合</a:t>
          </a:r>
          <a:r>
            <a:rPr lang="ja-JP" altLang="ja-JP" sz="1100">
              <a:solidFill>
                <a:sysClr val="windowText" lastClr="000000"/>
              </a:solidFill>
              <a:effectLst/>
              <a:latin typeface="Microsoft YaHei" panose="020B0503020204020204" pitchFamily="34" charset="-122"/>
              <a:ea typeface="Microsoft YaHei" panose="020B0503020204020204" pitchFamily="34" charset="-122"/>
              <a:cs typeface="+mn-cs"/>
            </a:rPr>
            <a:t>とし、</a:t>
          </a:r>
          <a:endParaRPr lang="en-US" altLang="ja-JP" sz="1100">
            <a:solidFill>
              <a:sysClr val="windowText" lastClr="000000"/>
            </a:solidFill>
            <a:effectLst/>
            <a:latin typeface="Microsoft YaHei" panose="020B0503020204020204" pitchFamily="34" charset="-122"/>
            <a:ea typeface="Microsoft YaHei" panose="020B0503020204020204" pitchFamily="34" charset="-122"/>
            <a:cs typeface="+mn-cs"/>
          </a:endParaRPr>
        </a:p>
        <a:p>
          <a:pPr rtl="0"/>
          <a:r>
            <a:rPr lang="ja-JP" altLang="ja-JP" sz="1100">
              <a:solidFill>
                <a:sysClr val="windowText" lastClr="000000"/>
              </a:solidFill>
              <a:effectLst/>
              <a:latin typeface="Microsoft YaHei" panose="020B0503020204020204" pitchFamily="34" charset="-122"/>
              <a:ea typeface="Microsoft YaHei" panose="020B0503020204020204" pitchFamily="34" charset="-122"/>
              <a:cs typeface="+mn-cs"/>
            </a:rPr>
            <a:t>「○」の記入をお願い致します。</a:t>
          </a:r>
          <a:endParaRPr lang="ja-JP" altLang="ja-JP">
            <a:solidFill>
              <a:sysClr val="windowText" lastClr="000000"/>
            </a:solidFill>
            <a:effectLst/>
            <a:latin typeface="Microsoft YaHei" panose="020B0503020204020204" pitchFamily="34" charset="-122"/>
            <a:ea typeface="Microsoft YaHei" panose="020B0503020204020204" pitchFamily="34" charset="-122"/>
          </a:endParaRPr>
        </a:p>
        <a:p>
          <a:pPr rtl="0"/>
          <a:r>
            <a:rPr lang="ja-JP" altLang="ja-JP" sz="1100">
              <a:solidFill>
                <a:sysClr val="windowText" lastClr="000000"/>
              </a:solidFill>
              <a:effectLst/>
              <a:latin typeface="Microsoft YaHei" panose="020B0503020204020204" pitchFamily="34" charset="-122"/>
              <a:ea typeface="Microsoft YaHei" panose="020B0503020204020204" pitchFamily="34" charset="-122"/>
              <a:cs typeface="+mn-cs"/>
            </a:rPr>
            <a:t>規制対象以外の用途で</a:t>
          </a:r>
          <a:r>
            <a:rPr lang="ja-JP" altLang="ja-JP" sz="1100" b="1">
              <a:solidFill>
                <a:sysClr val="windowText" lastClr="000000"/>
              </a:solidFill>
              <a:effectLst/>
              <a:latin typeface="Microsoft YaHei" panose="020B0503020204020204" pitchFamily="34" charset="-122"/>
              <a:ea typeface="Microsoft YaHei" panose="020B0503020204020204" pitchFamily="34" charset="-122"/>
              <a:cs typeface="+mn-cs"/>
            </a:rPr>
            <a:t>使用</a:t>
          </a:r>
          <a:r>
            <a:rPr lang="en-US" altLang="ja-JP" sz="1100" b="1">
              <a:solidFill>
                <a:sysClr val="windowText" lastClr="000000"/>
              </a:solidFill>
              <a:effectLst/>
              <a:latin typeface="Microsoft YaHei" panose="020B0503020204020204" pitchFamily="34" charset="-122"/>
              <a:ea typeface="Microsoft YaHei" panose="020B0503020204020204" pitchFamily="34" charset="-122"/>
              <a:cs typeface="+mn-cs"/>
            </a:rPr>
            <a:t>/</a:t>
          </a:r>
          <a:r>
            <a:rPr lang="ja-JP" altLang="ja-JP" sz="1100">
              <a:solidFill>
                <a:sysClr val="windowText" lastClr="000000"/>
              </a:solidFill>
              <a:effectLst/>
              <a:latin typeface="Microsoft YaHei" panose="020B0503020204020204" pitchFamily="34" charset="-122"/>
              <a:ea typeface="Microsoft YaHei" panose="020B0503020204020204" pitchFamily="34" charset="-122"/>
              <a:cs typeface="+mn-cs"/>
            </a:rPr>
            <a:t>含有がある場合も</a:t>
          </a:r>
          <a:r>
            <a:rPr lang="ja-JP" altLang="ja-JP" sz="1100" b="1">
              <a:solidFill>
                <a:sysClr val="windowText" lastClr="000000"/>
              </a:solidFill>
              <a:effectLst/>
              <a:latin typeface="Microsoft YaHei" panose="020B0503020204020204" pitchFamily="34" charset="-122"/>
              <a:ea typeface="Microsoft YaHei" panose="020B0503020204020204" pitchFamily="34" charset="-122"/>
              <a:cs typeface="+mn-cs"/>
            </a:rPr>
            <a:t>適合</a:t>
          </a:r>
          <a:r>
            <a:rPr lang="ja-JP" altLang="ja-JP" sz="1100">
              <a:solidFill>
                <a:sysClr val="windowText" lastClr="000000"/>
              </a:solidFill>
              <a:effectLst/>
              <a:latin typeface="Microsoft YaHei" panose="020B0503020204020204" pitchFamily="34" charset="-122"/>
              <a:ea typeface="Microsoft YaHei" panose="020B0503020204020204" pitchFamily="34" charset="-122"/>
              <a:cs typeface="+mn-cs"/>
            </a:rPr>
            <a:t>とし、</a:t>
          </a:r>
          <a:endParaRPr lang="ja-JP" altLang="ja-JP">
            <a:solidFill>
              <a:sysClr val="windowText" lastClr="000000"/>
            </a:solidFill>
            <a:effectLst/>
            <a:latin typeface="Microsoft YaHei" panose="020B0503020204020204" pitchFamily="34" charset="-122"/>
            <a:ea typeface="Microsoft YaHei" panose="020B0503020204020204" pitchFamily="34" charset="-122"/>
          </a:endParaRPr>
        </a:p>
        <a:p>
          <a:pPr rtl="0"/>
          <a:r>
            <a:rPr lang="ja-JP" altLang="ja-JP" sz="1100">
              <a:solidFill>
                <a:sysClr val="windowText" lastClr="000000"/>
              </a:solidFill>
              <a:effectLst/>
              <a:latin typeface="Microsoft YaHei" panose="020B0503020204020204" pitchFamily="34" charset="-122"/>
              <a:ea typeface="Microsoft YaHei" panose="020B0503020204020204" pitchFamily="34" charset="-122"/>
              <a:cs typeface="+mn-cs"/>
            </a:rPr>
            <a:t>「○」の記入をお願い致します。</a:t>
          </a:r>
          <a:endParaRPr lang="en-US" altLang="ja-JP" sz="1100">
            <a:solidFill>
              <a:sysClr val="windowText" lastClr="000000"/>
            </a:solidFill>
            <a:effectLst/>
            <a:latin typeface="Microsoft YaHei" panose="020B0503020204020204" pitchFamily="34" charset="-122"/>
            <a:ea typeface="Microsoft YaHei" panose="020B0503020204020204" pitchFamily="34" charset="-122"/>
            <a:cs typeface="+mn-cs"/>
          </a:endParaRPr>
        </a:p>
        <a:p>
          <a:pPr rtl="0"/>
          <a:r>
            <a:rPr lang="en-US" altLang="ja-JP">
              <a:solidFill>
                <a:srgbClr val="0000FF"/>
              </a:solidFill>
              <a:effectLst/>
              <a:latin typeface="Microsoft YaHei" panose="020B0503020204020204" pitchFamily="34" charset="-122"/>
              <a:ea typeface="Microsoft YaHei" panose="020B0503020204020204" pitchFamily="34" charset="-122"/>
            </a:rPr>
            <a:t>Please enter “○” if it conformity.</a:t>
          </a:r>
        </a:p>
        <a:p>
          <a:pPr rtl="0"/>
          <a:r>
            <a:rPr lang="en-US" altLang="ja-JP">
              <a:solidFill>
                <a:srgbClr val="0000FF"/>
              </a:solidFill>
              <a:effectLst/>
              <a:latin typeface="Microsoft YaHei" panose="020B0503020204020204" pitchFamily="34" charset="-122"/>
              <a:ea typeface="Microsoft YaHei" panose="020B0503020204020204" pitchFamily="34" charset="-122"/>
            </a:rPr>
            <a:t>Please enter “○” as conformity, even if it is intentionally used / contained for exemption.</a:t>
          </a:r>
        </a:p>
        <a:p>
          <a:pPr rtl="0"/>
          <a:r>
            <a:rPr lang="en-US" altLang="ja-JP">
              <a:solidFill>
                <a:srgbClr val="0000FF"/>
              </a:solidFill>
              <a:effectLst/>
              <a:latin typeface="Microsoft YaHei" panose="020B0503020204020204" pitchFamily="34" charset="-122"/>
              <a:ea typeface="Microsoft YaHei" panose="020B0503020204020204" pitchFamily="34" charset="-122"/>
            </a:rPr>
            <a:t>Please enter “○” as conformity, even if  it is intentionally used / contained for non-regulated uses.</a:t>
          </a:r>
        </a:p>
        <a:p>
          <a:pPr rtl="0"/>
          <a:r>
            <a:rPr lang="ja-JP" altLang="en-US">
              <a:solidFill>
                <a:srgbClr val="C00000"/>
              </a:solidFill>
              <a:effectLst/>
              <a:latin typeface="Microsoft YaHei" panose="020B0503020204020204" pitchFamily="34" charset="-122"/>
              <a:ea typeface="Microsoft YaHei" panose="020B0503020204020204" pitchFamily="34" charset="-122"/>
            </a:rPr>
            <a:t>如果符合调查对象物质时，请填写“○”。              </a:t>
          </a:r>
        </a:p>
        <a:p>
          <a:pPr rtl="0"/>
          <a:r>
            <a:rPr lang="ja-JP" altLang="en-US">
              <a:solidFill>
                <a:srgbClr val="C00000"/>
              </a:solidFill>
              <a:effectLst/>
              <a:latin typeface="Microsoft YaHei" panose="020B0503020204020204" pitchFamily="34" charset="-122"/>
              <a:ea typeface="Microsoft YaHei" panose="020B0503020204020204" pitchFamily="34" charset="-122"/>
            </a:rPr>
            <a:t>另外，符合适用除外用途中故意使用</a:t>
          </a:r>
          <a:r>
            <a:rPr lang="en-US" altLang="ja-JP">
              <a:solidFill>
                <a:srgbClr val="C00000"/>
              </a:solidFill>
              <a:effectLst/>
              <a:latin typeface="Microsoft YaHei" panose="020B0503020204020204" pitchFamily="34" charset="-122"/>
              <a:ea typeface="Microsoft YaHei" panose="020B0503020204020204" pitchFamily="34" charset="-122"/>
            </a:rPr>
            <a:t>/</a:t>
          </a:r>
          <a:r>
            <a:rPr lang="ja-JP" altLang="en-US">
              <a:solidFill>
                <a:srgbClr val="C00000"/>
              </a:solidFill>
              <a:effectLst/>
              <a:latin typeface="Microsoft YaHei" panose="020B0503020204020204" pitchFamily="34" charset="-122"/>
              <a:ea typeface="Microsoft YaHei" panose="020B0503020204020204" pitchFamily="34" charset="-122"/>
            </a:rPr>
            <a:t>含有时，请填写“○”。</a:t>
          </a:r>
        </a:p>
        <a:p>
          <a:pPr rtl="0"/>
          <a:r>
            <a:rPr lang="ja-JP" altLang="en-US">
              <a:solidFill>
                <a:srgbClr val="C00000"/>
              </a:solidFill>
              <a:effectLst/>
              <a:latin typeface="Microsoft YaHei" panose="020B0503020204020204" pitchFamily="34" charset="-122"/>
              <a:ea typeface="Microsoft YaHei" panose="020B0503020204020204" pitchFamily="34" charset="-122"/>
            </a:rPr>
            <a:t>符合限制对象以外用途中使用</a:t>
          </a:r>
          <a:r>
            <a:rPr lang="en-US" altLang="ja-JP">
              <a:solidFill>
                <a:srgbClr val="C00000"/>
              </a:solidFill>
              <a:effectLst/>
              <a:latin typeface="Microsoft YaHei" panose="020B0503020204020204" pitchFamily="34" charset="-122"/>
              <a:ea typeface="Microsoft YaHei" panose="020B0503020204020204" pitchFamily="34" charset="-122"/>
            </a:rPr>
            <a:t>/</a:t>
          </a:r>
          <a:r>
            <a:rPr lang="ja-JP" altLang="en-US">
              <a:solidFill>
                <a:srgbClr val="C00000"/>
              </a:solidFill>
              <a:effectLst/>
              <a:latin typeface="Microsoft YaHei" panose="020B0503020204020204" pitchFamily="34" charset="-122"/>
              <a:ea typeface="Microsoft YaHei" panose="020B0503020204020204" pitchFamily="34" charset="-122"/>
            </a:rPr>
            <a:t>含有时，请填写“○”。</a:t>
          </a:r>
          <a:endParaRPr lang="ja-JP" altLang="ja-JP">
            <a:solidFill>
              <a:srgbClr val="C00000"/>
            </a:solidFill>
            <a:effectLst/>
            <a:latin typeface="Microsoft YaHei" panose="020B0503020204020204" pitchFamily="34" charset="-122"/>
            <a:ea typeface="Microsoft YaHei" panose="020B0503020204020204" pitchFamily="34" charset="-122"/>
          </a:endParaRPr>
        </a:p>
      </xdr:txBody>
    </xdr:sp>
    <xdr:clientData/>
  </xdr:oneCellAnchor>
  <xdr:twoCellAnchor>
    <xdr:from>
      <xdr:col>33</xdr:col>
      <xdr:colOff>57150</xdr:colOff>
      <xdr:row>11</xdr:row>
      <xdr:rowOff>4762</xdr:rowOff>
    </xdr:from>
    <xdr:to>
      <xdr:col>35</xdr:col>
      <xdr:colOff>295275</xdr:colOff>
      <xdr:row>15</xdr:row>
      <xdr:rowOff>90487</xdr:rowOff>
    </xdr:to>
    <xdr:sp macro="" textlink="">
      <xdr:nvSpPr>
        <xdr:cNvPr id="8" name="Line 23">
          <a:extLst>
            <a:ext uri="{FF2B5EF4-FFF2-40B4-BE49-F238E27FC236}">
              <a16:creationId xmlns:a16="http://schemas.microsoft.com/office/drawing/2014/main" id="{00000000-0008-0000-0300-000004000000}"/>
            </a:ext>
          </a:extLst>
        </xdr:cNvPr>
        <xdr:cNvSpPr>
          <a:spLocks noChangeShapeType="1"/>
        </xdr:cNvSpPr>
      </xdr:nvSpPr>
      <xdr:spPr bwMode="auto">
        <a:xfrm flipH="1">
          <a:off x="7648575" y="2757487"/>
          <a:ext cx="542925" cy="733425"/>
        </a:xfrm>
        <a:prstGeom prst="line">
          <a:avLst/>
        </a:prstGeom>
        <a:noFill/>
        <a:ln w="15875">
          <a:solidFill>
            <a:srgbClr val="FF0000"/>
          </a:solidFill>
          <a:round/>
          <a:headEnd/>
          <a:tailEnd type="triangle" w="med" len="med"/>
        </a:ln>
      </xdr:spPr>
    </xdr:sp>
    <xdr:clientData/>
  </xdr:twoCellAnchor>
  <xdr:twoCellAnchor>
    <xdr:from>
      <xdr:col>0</xdr:col>
      <xdr:colOff>47625</xdr:colOff>
      <xdr:row>45</xdr:row>
      <xdr:rowOff>347662</xdr:rowOff>
    </xdr:from>
    <xdr:to>
      <xdr:col>34</xdr:col>
      <xdr:colOff>19050</xdr:colOff>
      <xdr:row>49</xdr:row>
      <xdr:rowOff>4762</xdr:rowOff>
    </xdr:to>
    <xdr:sp macro="" textlink="">
      <xdr:nvSpPr>
        <xdr:cNvPr id="9" name="AutoShape 3">
          <a:extLst>
            <a:ext uri="{FF2B5EF4-FFF2-40B4-BE49-F238E27FC236}">
              <a16:creationId xmlns:a16="http://schemas.microsoft.com/office/drawing/2014/main" id="{00000000-0008-0000-0300-000002000000}"/>
            </a:ext>
          </a:extLst>
        </xdr:cNvPr>
        <xdr:cNvSpPr>
          <a:spLocks noChangeArrowheads="1"/>
        </xdr:cNvSpPr>
      </xdr:nvSpPr>
      <xdr:spPr bwMode="auto">
        <a:xfrm>
          <a:off x="47625" y="12777787"/>
          <a:ext cx="7762875" cy="895350"/>
        </a:xfrm>
        <a:prstGeom prst="roundRect">
          <a:avLst>
            <a:gd name="adj" fmla="val 16667"/>
          </a:avLst>
        </a:prstGeom>
        <a:solidFill>
          <a:schemeClr val="accent3">
            <a:lumMod val="60000"/>
            <a:lumOff val="40000"/>
            <a:alpha val="40000"/>
          </a:schemeClr>
        </a:solidFill>
        <a:ln w="15875" algn="ctr">
          <a:solidFill>
            <a:srgbClr val="FF0000"/>
          </a:solidFill>
          <a:round/>
          <a:headEnd/>
          <a:tailEnd/>
        </a:ln>
      </xdr:spPr>
    </xdr:sp>
    <xdr:clientData/>
  </xdr:twoCellAnchor>
  <xdr:oneCellAnchor>
    <xdr:from>
      <xdr:col>1</xdr:col>
      <xdr:colOff>95250</xdr:colOff>
      <xdr:row>53</xdr:row>
      <xdr:rowOff>147636</xdr:rowOff>
    </xdr:from>
    <xdr:ext cx="6096000" cy="1900239"/>
    <xdr:sp macro="" textlink="">
      <xdr:nvSpPr>
        <xdr:cNvPr id="10" name="AutoShape 24">
          <a:extLst>
            <a:ext uri="{FF2B5EF4-FFF2-40B4-BE49-F238E27FC236}">
              <a16:creationId xmlns:a16="http://schemas.microsoft.com/office/drawing/2014/main" id="{00000000-0008-0000-0300-000003000000}"/>
            </a:ext>
          </a:extLst>
        </xdr:cNvPr>
        <xdr:cNvSpPr>
          <a:spLocks noChangeArrowheads="1"/>
        </xdr:cNvSpPr>
      </xdr:nvSpPr>
      <xdr:spPr bwMode="auto">
        <a:xfrm>
          <a:off x="180975" y="14292261"/>
          <a:ext cx="6096000" cy="1900239"/>
        </a:xfrm>
        <a:prstGeom prst="roundRect">
          <a:avLst>
            <a:gd name="adj" fmla="val 16667"/>
          </a:avLst>
        </a:prstGeom>
        <a:solidFill>
          <a:schemeClr val="accent3">
            <a:lumMod val="60000"/>
            <a:lumOff val="40000"/>
          </a:schemeClr>
        </a:solidFill>
        <a:ln w="15875" algn="ctr">
          <a:solidFill>
            <a:srgbClr val="FF0000"/>
          </a:solidFill>
          <a:round/>
          <a:headEnd/>
          <a:tailEnd/>
        </a:ln>
        <a:effectLst/>
      </xdr:spPr>
      <xdr:txBody>
        <a:bodyPr wrap="none" lIns="18288" tIns="18288" rIns="0" bIns="0" anchor="t" upright="1">
          <a:noAutofit/>
        </a:bodyPr>
        <a:lstStyle/>
        <a:p>
          <a:pPr rtl="0"/>
          <a:r>
            <a:rPr lang="ja-JP" altLang="en-US">
              <a:solidFill>
                <a:sysClr val="windowText" lastClr="000000"/>
              </a:solidFill>
              <a:effectLst/>
              <a:latin typeface="Microsoft YaHei" panose="020B0503020204020204" pitchFamily="34" charset="-122"/>
              <a:ea typeface="Microsoft YaHei" panose="020B0503020204020204" pitchFamily="34" charset="-122"/>
            </a:rPr>
            <a:t>顧客要求により更に追加物質があった場合、ミネベアミツミグループが物質を追加致します。</a:t>
          </a:r>
          <a:endParaRPr lang="en-US" altLang="ja-JP">
            <a:solidFill>
              <a:sysClr val="windowText" lastClr="000000"/>
            </a:solidFill>
            <a:effectLst/>
            <a:latin typeface="Microsoft YaHei" panose="020B0503020204020204" pitchFamily="34" charset="-122"/>
            <a:ea typeface="Microsoft YaHei" panose="020B0503020204020204" pitchFamily="34" charset="-122"/>
          </a:endParaRPr>
        </a:p>
        <a:p>
          <a:pPr rtl="0"/>
          <a:r>
            <a:rPr lang="ja-JP" altLang="en-US">
              <a:solidFill>
                <a:sysClr val="windowText" lastClr="000000"/>
              </a:solidFill>
              <a:effectLst/>
              <a:latin typeface="Microsoft YaHei" panose="020B0503020204020204" pitchFamily="34" charset="-122"/>
              <a:ea typeface="Microsoft YaHei" panose="020B0503020204020204" pitchFamily="34" charset="-122"/>
            </a:rPr>
            <a:t>同様に調査回答をお願いします。</a:t>
          </a:r>
          <a:endParaRPr lang="en-US" altLang="ja-JP">
            <a:solidFill>
              <a:sysClr val="windowText" lastClr="000000"/>
            </a:solidFill>
            <a:effectLst/>
            <a:latin typeface="Microsoft YaHei" panose="020B0503020204020204" pitchFamily="34" charset="-122"/>
            <a:ea typeface="Microsoft YaHei" panose="020B0503020204020204" pitchFamily="34" charset="-122"/>
          </a:endParaRPr>
        </a:p>
        <a:p>
          <a:pPr rtl="0"/>
          <a:r>
            <a:rPr lang="en-US" altLang="ja-JP">
              <a:solidFill>
                <a:srgbClr val="0000FF"/>
              </a:solidFill>
              <a:effectLst/>
              <a:latin typeface="Microsoft YaHei" panose="020B0503020204020204" pitchFamily="34" charset="-122"/>
              <a:ea typeface="Microsoft YaHei" panose="020B0503020204020204" pitchFamily="34" charset="-122"/>
            </a:rPr>
            <a:t>If there are additional substances due to customer requirements, </a:t>
          </a:r>
        </a:p>
        <a:p>
          <a:pPr rtl="0"/>
          <a:r>
            <a:rPr lang="en-US" altLang="ja-JP">
              <a:solidFill>
                <a:srgbClr val="0000FF"/>
              </a:solidFill>
              <a:effectLst/>
              <a:latin typeface="Microsoft YaHei" panose="020B0503020204020204" pitchFamily="34" charset="-122"/>
              <a:ea typeface="Microsoft YaHei" panose="020B0503020204020204" pitchFamily="34" charset="-122"/>
            </a:rPr>
            <a:t>the MinebeaMitsumi Group will add the substances.</a:t>
          </a:r>
        </a:p>
        <a:p>
          <a:pPr rtl="0"/>
          <a:r>
            <a:rPr lang="en-US" altLang="ja-JP">
              <a:solidFill>
                <a:srgbClr val="0000FF"/>
              </a:solidFill>
              <a:effectLst/>
              <a:latin typeface="Microsoft YaHei" panose="020B0503020204020204" pitchFamily="34" charset="-122"/>
              <a:ea typeface="Microsoft YaHei" panose="020B0503020204020204" pitchFamily="34" charset="-122"/>
            </a:rPr>
            <a:t>Please respond to the survey as well.</a:t>
          </a:r>
        </a:p>
        <a:p>
          <a:pPr rtl="0"/>
          <a:r>
            <a:rPr lang="ja-JP" altLang="en-US">
              <a:solidFill>
                <a:srgbClr val="C00000"/>
              </a:solidFill>
              <a:effectLst/>
              <a:latin typeface="Microsoft YaHei" panose="020B0503020204020204" pitchFamily="34" charset="-122"/>
              <a:ea typeface="Microsoft YaHei" panose="020B0503020204020204" pitchFamily="34" charset="-122"/>
            </a:rPr>
            <a:t>如果顾客要求追加更多物质时，美蓓亚三美集团也会追加物质。              </a:t>
          </a:r>
        </a:p>
        <a:p>
          <a:pPr rtl="0"/>
          <a:r>
            <a:rPr lang="ja-JP" altLang="en-US">
              <a:solidFill>
                <a:srgbClr val="C00000"/>
              </a:solidFill>
              <a:effectLst/>
              <a:latin typeface="Microsoft YaHei" panose="020B0503020204020204" pitchFamily="34" charset="-122"/>
              <a:ea typeface="Microsoft YaHei" panose="020B0503020204020204" pitchFamily="34" charset="-122"/>
            </a:rPr>
            <a:t>请同样进行调查回答。</a:t>
          </a:r>
          <a:endParaRPr lang="ja-JP" altLang="ja-JP">
            <a:solidFill>
              <a:srgbClr val="C00000"/>
            </a:solidFill>
            <a:effectLst/>
            <a:latin typeface="Microsoft YaHei" panose="020B0503020204020204" pitchFamily="34" charset="-122"/>
            <a:ea typeface="Microsoft YaHei" panose="020B0503020204020204" pitchFamily="34" charset="-122"/>
          </a:endParaRPr>
        </a:p>
        <a:p>
          <a:pPr rtl="0"/>
          <a:endParaRPr lang="en-US" altLang="ja-JP">
            <a:solidFill>
              <a:srgbClr val="0000FF"/>
            </a:solidFill>
            <a:effectLst/>
          </a:endParaRPr>
        </a:p>
        <a:p>
          <a:pPr rtl="0"/>
          <a:endParaRPr lang="ja-JP" altLang="ja-JP">
            <a:effectLst/>
          </a:endParaRPr>
        </a:p>
      </xdr:txBody>
    </xdr:sp>
    <xdr:clientData/>
  </xdr:oneCellAnchor>
  <xdr:twoCellAnchor>
    <xdr:from>
      <xdr:col>5</xdr:col>
      <xdr:colOff>238124</xdr:colOff>
      <xdr:row>49</xdr:row>
      <xdr:rowOff>9524</xdr:rowOff>
    </xdr:from>
    <xdr:to>
      <xdr:col>7</xdr:col>
      <xdr:colOff>38099</xdr:colOff>
      <xdr:row>53</xdr:row>
      <xdr:rowOff>157160</xdr:rowOff>
    </xdr:to>
    <xdr:sp macro="" textlink="">
      <xdr:nvSpPr>
        <xdr:cNvPr id="11" name="Line 23">
          <a:extLst>
            <a:ext uri="{FF2B5EF4-FFF2-40B4-BE49-F238E27FC236}">
              <a16:creationId xmlns:a16="http://schemas.microsoft.com/office/drawing/2014/main" id="{00000000-0008-0000-0300-000004000000}"/>
            </a:ext>
          </a:extLst>
        </xdr:cNvPr>
        <xdr:cNvSpPr>
          <a:spLocks noChangeShapeType="1"/>
        </xdr:cNvSpPr>
      </xdr:nvSpPr>
      <xdr:spPr bwMode="auto">
        <a:xfrm flipH="1" flipV="1">
          <a:off x="1276349" y="13677899"/>
          <a:ext cx="276225" cy="623886"/>
        </a:xfrm>
        <a:prstGeom prst="line">
          <a:avLst/>
        </a:prstGeom>
        <a:noFill/>
        <a:ln w="15875">
          <a:solidFill>
            <a:srgbClr val="FF0000"/>
          </a:solidFill>
          <a:round/>
          <a:headEn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j3070\procurement\MyDocumentsOffice\CAT-6F\COST\&#26368;&#26032;&#31038;&#32102;-H14-11&#26376;%202&#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j3070\procurement\Documents%20and%20Settings\hm39613\My%20Documents\&#20316;&#26989;&#35352;&#37682;\2005&#24180;4&#26376;\hushiyou_houkoku_j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荷実績"/>
      <sheetName val="出荷実績入力画面"/>
      <sheetName val="出荷実績2"/>
      <sheetName val="社給実績入力画面"/>
      <sheetName val="Fﾒｶ"/>
      <sheetName val="F,Kｴﾚｷ"/>
      <sheetName val="Kittyﾒｶ"/>
      <sheetName val="Kittyｴﾚｷ"/>
      <sheetName val="6Fﾒｶ,Kitty-4ｴﾚｷ"/>
      <sheetName val="Kitty-4,6Fｴﾚｷ"/>
      <sheetName val="4Gﾒｶ"/>
      <sheetName val="4Gｴﾚｷ"/>
      <sheetName val="4F集計表"/>
      <sheetName val="5F集計表"/>
      <sheetName val="Kitty集計表"/>
      <sheetName val="6F集計表"/>
      <sheetName val="4G集計表"/>
      <sheetName val="5G集計表"/>
      <sheetName val="5FH集計表"/>
      <sheetName val="Kitty-4集計表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 別紙 不使用証明書 (書式)"/>
      <sheetName val="② 別紙 不使用証明書 (記入例)"/>
      <sheetName val="③ 別紙 含有報告書 (書式)"/>
      <sheetName val="④ 別紙 含有報告書 (記入例)"/>
      <sheetName val="ﾄﾞﾛｯﾌﾟﾀﾞｳﾝ"/>
      <sheetName val="ﾄﾞﾛｯﾌﾟﾀﾞｳﾝ2"/>
    </sheetNames>
    <sheetDataSet>
      <sheetData sheetId="0" refreshError="1"/>
      <sheetData sheetId="1" refreshError="1"/>
      <sheetData sheetId="2" refreshError="1"/>
      <sheetData sheetId="3" refreshError="1"/>
      <sheetData sheetId="4">
        <row r="1">
          <cell r="A1" t="str">
            <v>ﾐﾈﾍﾞｱ株式会社</v>
          </cell>
          <cell r="B1" t="str">
            <v>ﾐﾈﾍﾞｱｴﾚｸﾄﾛﾆｸｽ株式会社</v>
          </cell>
          <cell r="C1" t="str">
            <v>ｴﾇ･ｴﾑ･ﾋﾞｰ電子精工株式会社</v>
          </cell>
          <cell r="D1" t="str">
            <v>ﾐﾈﾍﾞｱ･松下ﾓｰﾀ株式会社</v>
          </cell>
        </row>
      </sheetData>
      <sheetData sheetId="5">
        <row r="2">
          <cell r="A2" t="str">
            <v>ｶﾄﾞﾐｳﾑ及びその化合物</v>
          </cell>
        </row>
        <row r="3">
          <cell r="A3" t="str">
            <v>六価ｸﾛﾑ化合物</v>
          </cell>
        </row>
        <row r="4">
          <cell r="A4" t="str">
            <v>鉛及びその化合物</v>
          </cell>
        </row>
        <row r="5">
          <cell r="A5" t="str">
            <v>水銀及びその化合物</v>
          </cell>
        </row>
        <row r="6">
          <cell r="A6" t="str">
            <v>ﾋﾞｽ･ﾄﾘﾌﾞﾁﾙｽｽﾞ･ｵｷｼﾄﾞ･TBTO</v>
          </cell>
        </row>
        <row r="7">
          <cell r="A7" t="str">
            <v>ﾄﾘﾌﾞﾁﾙｽｽﾞ類･TBT類･ﾄﾘﾌｪﾆﾙｽｽﾞ類･TPT類</v>
          </cell>
        </row>
        <row r="8">
          <cell r="A8" t="str">
            <v>ﾎﾟﾘ臭化ﾋﾞﾌｪﾆﾙ･PBB</v>
          </cell>
        </row>
        <row r="9">
          <cell r="A9" t="str">
            <v>ﾎﾟﾘ臭化ｼﾞﾌｪﾆﾙｴｰﾃﾙ･PBDE</v>
          </cell>
        </row>
        <row r="10">
          <cell r="A10" t="str">
            <v>ﾎﾟﾘ塩化ﾋﾞﾌｪﾆﾙ･PCB類</v>
          </cell>
        </row>
        <row r="11">
          <cell r="A11" t="str">
            <v>ﾎﾟﾘ塩化ﾅﾌﾀﾚﾝ･PCN類</v>
          </cell>
        </row>
        <row r="12">
          <cell r="A12" t="str">
            <v>短鎖型塩化ﾊﾟﾗﾌｨﾝ</v>
          </cell>
        </row>
        <row r="13">
          <cell r="A13" t="str">
            <v>ｱｽﾍﾞｽﾄ･石綿</v>
          </cell>
        </row>
        <row r="14">
          <cell r="A14" t="str">
            <v>ｱｿﾞ染料･顔料</v>
          </cell>
        </row>
        <row r="15">
          <cell r="A15" t="str">
            <v>ｵｿﾞﾝ層破壊物質</v>
          </cell>
        </row>
        <row r="16">
          <cell r="A16" t="str">
            <v>放射性物質</v>
          </cell>
        </row>
        <row r="17">
          <cell r="A17" t="str">
            <v>ﾎﾙﾑｱﾙﾃﾞﾋﾄﾞ</v>
          </cell>
        </row>
        <row r="18">
          <cell r="A18" t="str">
            <v>ﾀﾞｲｵｷｼﾝ類</v>
          </cell>
        </row>
        <row r="19">
          <cell r="A19" t="str">
            <v>ﾎﾟﾘ塩化ﾋﾞﾆﾙ及びその混合物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D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D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www.minebeamitsumi.com/english/corp/company/procurements/green/" TargetMode="External"/><Relationship Id="rId7" Type="http://schemas.openxmlformats.org/officeDocument/2006/relationships/vmlDrawing" Target="../drawings/vmlDrawing1.vml"/><Relationship Id="rId2" Type="http://schemas.openxmlformats.org/officeDocument/2006/relationships/hyperlink" Target="http://www.minebeamitsumi.com/corp/company/procurements/green/index.html" TargetMode="External"/><Relationship Id="rId1" Type="http://schemas.openxmlformats.org/officeDocument/2006/relationships/hyperlink" Target="http://www.minebeamitsumi.com.cn/procurements_environment.asp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10" Type="http://schemas.openxmlformats.org/officeDocument/2006/relationships/ctrlProp" Target="../ctrlProps/ctrlProp3.xml"/><Relationship Id="rId4" Type="http://schemas.openxmlformats.org/officeDocument/2006/relationships/hyperlink" Target="https://eur-lex.europa.eu/legal-content/EN/TXT/PDF/?uri=CELEX:02011L0065-20221001&amp;from=EN" TargetMode="External"/><Relationship Id="rId9"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printerSettings" Target="../printerSettings/printerSettings2.bin"/><Relationship Id="rId7" Type="http://schemas.openxmlformats.org/officeDocument/2006/relationships/ctrlProp" Target="../ctrlProps/ctrlProp5.xml"/><Relationship Id="rId2" Type="http://schemas.openxmlformats.org/officeDocument/2006/relationships/hyperlink" Target="https://www.minebeamitsumi.com/english/corp/company/procurements/green/" TargetMode="External"/><Relationship Id="rId1" Type="http://schemas.openxmlformats.org/officeDocument/2006/relationships/hyperlink" Target="https://eur-lex.europa.eu/legal-content/EN/TXT/PDF/?uri=CELEX:02011L0065-20190722&amp;qid=1570766834196&amp;from=EN" TargetMode="External"/><Relationship Id="rId6" Type="http://schemas.openxmlformats.org/officeDocument/2006/relationships/ctrlProp" Target="../ctrlProps/ctrlProp4.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printerSettings" Target="../printerSettings/printerSettings3.bin"/><Relationship Id="rId7" Type="http://schemas.openxmlformats.org/officeDocument/2006/relationships/ctrlProp" Target="../ctrlProps/ctrlProp8.xml"/><Relationship Id="rId2" Type="http://schemas.openxmlformats.org/officeDocument/2006/relationships/hyperlink" Target="https://www.minebeamitsumi.com/english/corp/company/procurements/green/" TargetMode="External"/><Relationship Id="rId1" Type="http://schemas.openxmlformats.org/officeDocument/2006/relationships/hyperlink" Target="https://eur-lex.europa.eu/legal-content/EN/TXT/PDF/?uri=CELEX:02011L0065-20190722&amp;qid=1570766834196&amp;from=EN" TargetMode="External"/><Relationship Id="rId6" Type="http://schemas.openxmlformats.org/officeDocument/2006/relationships/ctrlProp" Target="../ctrlProps/ctrlProp7.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printerSettings" Target="../printerSettings/printerSettings4.bin"/><Relationship Id="rId7" Type="http://schemas.openxmlformats.org/officeDocument/2006/relationships/ctrlProp" Target="../ctrlProps/ctrlProp11.xml"/><Relationship Id="rId2" Type="http://schemas.openxmlformats.org/officeDocument/2006/relationships/hyperlink" Target="https://www.minebeamitsumi.com/english/corp/company/procurements/green/" TargetMode="External"/><Relationship Id="rId1" Type="http://schemas.openxmlformats.org/officeDocument/2006/relationships/hyperlink" Target="https://eur-lex.europa.eu/legal-content/EN/TXT/PDF/?uri=CELEX:02011L0065-20190722&amp;qid=1570766834196&amp;from=EN" TargetMode="External"/><Relationship Id="rId6" Type="http://schemas.openxmlformats.org/officeDocument/2006/relationships/ctrlProp" Target="../ctrlProps/ctrlProp10.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2:BK225"/>
  <sheetViews>
    <sheetView showGridLines="0" tabSelected="1" zoomScaleNormal="100" zoomScaleSheetLayoutView="100" workbookViewId="0">
      <selection activeCell="C5" sqref="C5:H5"/>
    </sheetView>
  </sheetViews>
  <sheetFormatPr defaultColWidth="9" defaultRowHeight="15.6"/>
  <cols>
    <col min="1" max="1" width="1.109375" style="153" customWidth="1"/>
    <col min="2" max="28" width="3.109375" style="153" customWidth="1"/>
    <col min="29" max="29" width="5.6640625" style="153" customWidth="1"/>
    <col min="30" max="31" width="3.109375" style="153" customWidth="1"/>
    <col min="32" max="32" width="1.109375" style="153" customWidth="1"/>
    <col min="33" max="33" width="5.6640625" style="3" customWidth="1"/>
    <col min="34" max="36" width="5.6640625" style="153" hidden="1" customWidth="1"/>
    <col min="37" max="40" width="5.6640625" style="153" customWidth="1"/>
    <col min="41" max="63" width="9" style="153" customWidth="1"/>
    <col min="64" max="16384" width="9" style="153"/>
  </cols>
  <sheetData>
    <row r="2" spans="1:39">
      <c r="B2" s="175" t="s">
        <v>48</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7"/>
    </row>
    <row r="3" spans="1:39" s="130" customFormat="1" ht="30" customHeight="1">
      <c r="B3" s="295" t="s">
        <v>80</v>
      </c>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7"/>
      <c r="AG3" s="131"/>
    </row>
    <row r="4" spans="1:39" s="130" customFormat="1" ht="9" customHeight="1" thickBot="1">
      <c r="B4" s="132"/>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9"/>
      <c r="AG4" s="131"/>
    </row>
    <row r="5" spans="1:39" ht="25.5" customHeight="1" thickBot="1">
      <c r="B5" s="133"/>
      <c r="C5" s="298" t="s">
        <v>79</v>
      </c>
      <c r="D5" s="299"/>
      <c r="E5" s="299"/>
      <c r="F5" s="299"/>
      <c r="G5" s="299"/>
      <c r="H5" s="300"/>
      <c r="I5" s="3"/>
      <c r="J5" s="3"/>
      <c r="K5" s="3"/>
      <c r="L5" s="3"/>
      <c r="M5" s="3"/>
      <c r="N5" s="3"/>
      <c r="O5" s="3"/>
      <c r="P5" s="3"/>
      <c r="Q5" s="3"/>
      <c r="R5" s="3"/>
      <c r="S5" s="3"/>
      <c r="T5" s="3"/>
      <c r="U5" s="3"/>
      <c r="V5" s="3"/>
      <c r="W5" s="3"/>
      <c r="X5" s="3"/>
      <c r="Y5" s="3"/>
      <c r="Z5" s="3"/>
      <c r="AA5" s="3"/>
      <c r="AB5" s="3"/>
      <c r="AC5" s="3"/>
      <c r="AD5" s="3"/>
      <c r="AE5" s="134"/>
      <c r="AH5" s="153" t="s">
        <v>43</v>
      </c>
    </row>
    <row r="6" spans="1:39">
      <c r="B6" s="135"/>
      <c r="C6" s="136"/>
      <c r="D6" s="180"/>
      <c r="E6" s="180"/>
      <c r="F6" s="180"/>
      <c r="G6" s="136"/>
      <c r="H6" s="136"/>
      <c r="I6" s="136"/>
      <c r="J6" s="136"/>
      <c r="K6" s="136"/>
      <c r="L6" s="136"/>
      <c r="M6" s="136"/>
      <c r="N6" s="136"/>
      <c r="O6" s="136"/>
      <c r="P6" s="136"/>
      <c r="Q6" s="136"/>
      <c r="R6" s="136"/>
      <c r="S6" s="136"/>
      <c r="T6" s="136"/>
      <c r="U6" s="136"/>
      <c r="V6" s="136"/>
      <c r="W6" s="136"/>
      <c r="X6" s="136"/>
      <c r="Y6" s="136"/>
      <c r="Z6" s="136"/>
      <c r="AA6" s="136"/>
      <c r="AB6" s="136"/>
      <c r="AC6" s="136"/>
      <c r="AD6" s="136"/>
      <c r="AE6" s="137"/>
      <c r="AH6" s="153" t="s">
        <v>44</v>
      </c>
    </row>
    <row r="7" spans="1:39" ht="16.2" thickBot="1"/>
    <row r="8" spans="1:39">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3"/>
    </row>
    <row r="9" spans="1:39" s="130" customFormat="1" ht="45" customHeight="1">
      <c r="B9" s="293" t="s">
        <v>47</v>
      </c>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140"/>
      <c r="AG9" s="131"/>
    </row>
    <row r="10" spans="1:39" s="78" customFormat="1" ht="13.5" customHeight="1">
      <c r="A10" s="171"/>
      <c r="B10" s="112"/>
      <c r="C10" s="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2"/>
      <c r="AF10" s="183"/>
      <c r="AG10" s="181"/>
      <c r="AH10" s="2" t="s">
        <v>74</v>
      </c>
      <c r="AI10" s="138" t="s">
        <v>46</v>
      </c>
      <c r="AJ10" s="138" t="s">
        <v>68</v>
      </c>
      <c r="AL10" s="80"/>
    </row>
    <row r="11" spans="1:39" s="1" customFormat="1" ht="16.2" thickBot="1">
      <c r="B11" s="107" t="s">
        <v>45</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108"/>
      <c r="AF11" s="62"/>
      <c r="AG11" s="62"/>
      <c r="AH11" s="2" t="s">
        <v>31</v>
      </c>
      <c r="AI11" s="153" t="s">
        <v>70</v>
      </c>
      <c r="AJ11" s="4" t="s">
        <v>66</v>
      </c>
    </row>
    <row r="12" spans="1:39" s="1" customFormat="1" ht="16.2" thickBot="1">
      <c r="B12" s="107"/>
      <c r="C12" s="476" t="s">
        <v>63</v>
      </c>
      <c r="D12" s="477"/>
      <c r="E12" s="477"/>
      <c r="F12" s="477"/>
      <c r="G12" s="477"/>
      <c r="H12" s="477"/>
      <c r="I12" s="477"/>
      <c r="J12" s="477"/>
      <c r="K12" s="477"/>
      <c r="L12" s="477"/>
      <c r="M12" s="477"/>
      <c r="N12" s="477"/>
      <c r="O12" s="477"/>
      <c r="P12" s="477"/>
      <c r="Q12" s="477"/>
      <c r="R12" s="477"/>
      <c r="S12" s="477"/>
      <c r="T12" s="477"/>
      <c r="U12" s="477"/>
      <c r="V12" s="477"/>
      <c r="W12" s="477"/>
      <c r="X12" s="477"/>
      <c r="Y12" s="477"/>
      <c r="Z12" s="478"/>
      <c r="AA12" s="62"/>
      <c r="AB12" s="62"/>
      <c r="AC12" s="62"/>
      <c r="AD12" s="62"/>
      <c r="AE12" s="108"/>
      <c r="AF12" s="62"/>
      <c r="AG12" s="62"/>
      <c r="AH12" s="2" t="s">
        <v>33</v>
      </c>
      <c r="AI12" s="153" t="s">
        <v>58</v>
      </c>
      <c r="AJ12" s="4" t="s">
        <v>67</v>
      </c>
    </row>
    <row r="13" spans="1:39">
      <c r="B13" s="104"/>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105"/>
      <c r="AF13" s="3"/>
    </row>
    <row r="14" spans="1:39" s="78" customFormat="1" ht="28.95" customHeight="1">
      <c r="A14" s="171"/>
      <c r="B14" s="493" t="str">
        <f>IF(C12="English","２、With or Without prohibited substances required by customer(Appendix 1) ",IF(C12="中文","２、是否存在客户要求违禁物质（附件1）","２、顧客要求禁止物質(別紙1追加)の有無"))</f>
        <v xml:space="preserve">２、With or Without prohibited substances required by customer(Appendix 1) </v>
      </c>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494"/>
      <c r="AA14" s="494"/>
      <c r="AB14" s="494"/>
      <c r="AC14" s="494"/>
      <c r="AD14" s="494"/>
      <c r="AE14" s="106"/>
      <c r="AF14" s="76"/>
      <c r="AG14" s="77"/>
      <c r="AM14" s="79"/>
    </row>
    <row r="15" spans="1:39" s="78" customFormat="1" ht="90" customHeight="1">
      <c r="A15" s="171"/>
      <c r="B15" s="184"/>
      <c r="C15" s="301" t="str">
        <f>VLOOKUP(C12,AH10:AJ12,IF(C5="有り / with / 是",2,3),FALSE)</f>
        <v>it is not necessary to fill out or submit Appendix 1 since the Prohibited substances required by customer are not specified in this form.
※ However, when there is a description of prohibited substances of our customers' customer requirements in other request form, it will be prohibited in accordance with the other request form.</v>
      </c>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106"/>
      <c r="AF15" s="76"/>
      <c r="AG15" s="77"/>
      <c r="AM15" s="79"/>
    </row>
    <row r="16" spans="1:39" s="78" customFormat="1" ht="13.5" customHeight="1">
      <c r="B16" s="185"/>
      <c r="C16" s="81"/>
      <c r="D16" s="81"/>
      <c r="E16" s="181"/>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7"/>
      <c r="AF16" s="183"/>
      <c r="AG16" s="181"/>
      <c r="AI16" s="80"/>
      <c r="AL16" s="80"/>
    </row>
    <row r="17" spans="1:41">
      <c r="B17" s="104" t="str">
        <f>IF(C12="English","３、Please fill in Certificate of Non-use of prohibited Substance below.",IF(C12="中文","３、以下，拜托填写禁止物质不使用证明书。","３、以下、禁止物質不使用証明書の記入をお願い致します。"))</f>
        <v>３、Please fill in Certificate of Non-use of prohibited Substance below.</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105"/>
      <c r="AF17" s="3"/>
    </row>
    <row r="18" spans="1:41" ht="16.2" thickBot="1">
      <c r="B18" s="109"/>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1"/>
      <c r="AF18" s="3"/>
    </row>
    <row r="19" spans="1:41">
      <c r="A19" s="495"/>
      <c r="B19" s="494"/>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3"/>
    </row>
    <row r="20" spans="1:41" ht="13.5" customHeight="1">
      <c r="B20" s="153" t="s">
        <v>85</v>
      </c>
      <c r="X20" s="4"/>
      <c r="Y20" s="4"/>
      <c r="Z20" s="488"/>
      <c r="AA20" s="488"/>
      <c r="AB20" s="488"/>
      <c r="AC20" s="488"/>
      <c r="AD20" s="488"/>
      <c r="AE20" s="488"/>
    </row>
    <row r="21" spans="1:41" ht="10.050000000000001" customHeight="1">
      <c r="B21" s="483" t="str">
        <f>IF(C12="English","Certificate of Non-use of prohibited Substance",IF(C12="中文","禁用物质不使用证明书","禁止物質不使用証明書"))</f>
        <v>Certificate of Non-use of prohibited Substance</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row>
    <row r="22" spans="1:41" ht="10.050000000000001" customHeight="1">
      <c r="B22" s="443"/>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row>
    <row r="23" spans="1:41" ht="12" customHeight="1">
      <c r="C23" s="489"/>
      <c r="D23" s="489"/>
      <c r="E23" s="489"/>
      <c r="F23" s="489"/>
      <c r="G23" s="489"/>
      <c r="H23" s="489"/>
      <c r="I23" s="489"/>
      <c r="J23" s="489"/>
      <c r="K23" s="489"/>
      <c r="L23" s="489"/>
      <c r="M23" s="489"/>
      <c r="N23" s="489"/>
      <c r="O23" s="489"/>
      <c r="P23" s="489"/>
      <c r="Q23" s="489"/>
      <c r="R23" s="489"/>
      <c r="S23" s="489"/>
      <c r="T23" s="489"/>
      <c r="U23" s="489"/>
      <c r="V23" s="489"/>
      <c r="W23" s="188"/>
      <c r="X23" s="490"/>
      <c r="Y23" s="490"/>
      <c r="Z23" s="490"/>
      <c r="AA23" s="490"/>
      <c r="AB23" s="490"/>
      <c r="AC23" s="490"/>
      <c r="AD23" s="490"/>
      <c r="AE23" s="490"/>
      <c r="AO23" s="3"/>
    </row>
    <row r="24" spans="1:41" ht="20.100000000000001" customHeight="1">
      <c r="B24" s="491"/>
      <c r="C24" s="492"/>
      <c r="D24" s="492"/>
      <c r="E24" s="492"/>
      <c r="F24" s="492"/>
      <c r="G24" s="492"/>
      <c r="H24" s="492"/>
      <c r="I24" s="492"/>
      <c r="J24" s="492"/>
      <c r="K24" s="492"/>
      <c r="L24" s="492"/>
      <c r="M24" s="492"/>
      <c r="N24" s="492"/>
      <c r="O24" s="492"/>
      <c r="P24" s="6"/>
      <c r="U24" s="3"/>
      <c r="V24" s="83"/>
      <c r="W24" s="83"/>
      <c r="X24" s="83"/>
      <c r="Y24" s="83"/>
      <c r="Z24" s="7"/>
      <c r="AA24" s="7"/>
      <c r="AB24" s="7"/>
      <c r="AC24" s="7"/>
      <c r="AD24" s="7"/>
      <c r="AE24" s="7"/>
      <c r="AO24" s="3"/>
    </row>
    <row r="25" spans="1:41" ht="20.100000000000001" customHeight="1">
      <c r="B25" s="496"/>
      <c r="C25" s="497"/>
      <c r="D25" s="497"/>
      <c r="E25" s="497"/>
      <c r="F25" s="497"/>
      <c r="G25" s="497"/>
      <c r="H25" s="497"/>
      <c r="I25" s="497"/>
      <c r="J25" s="497"/>
      <c r="K25" s="497"/>
      <c r="L25" s="497"/>
      <c r="M25" s="497"/>
      <c r="N25" s="497"/>
      <c r="O25" s="498"/>
      <c r="P25" s="3"/>
      <c r="AI25" s="8"/>
      <c r="AK25" s="8"/>
      <c r="AL25" s="8"/>
      <c r="AM25" s="8"/>
      <c r="AN25" s="8"/>
      <c r="AO25" s="3"/>
    </row>
    <row r="26" spans="1:41" ht="10.050000000000001" customHeight="1">
      <c r="B26" s="434"/>
      <c r="C26" s="434"/>
      <c r="D26" s="434"/>
      <c r="E26" s="434"/>
      <c r="F26" s="434"/>
      <c r="G26" s="434"/>
      <c r="H26" s="9"/>
      <c r="I26" s="157"/>
      <c r="J26" s="157"/>
      <c r="K26" s="157"/>
      <c r="L26" s="157"/>
      <c r="M26" s="152"/>
      <c r="N26" s="157"/>
      <c r="O26" s="157"/>
      <c r="P26" s="83"/>
      <c r="T26" s="152"/>
      <c r="U26" s="429"/>
      <c r="V26" s="429"/>
      <c r="W26" s="429"/>
      <c r="X26" s="429"/>
      <c r="Y26" s="429"/>
      <c r="Z26" s="429"/>
      <c r="AA26" s="429"/>
      <c r="AB26" s="429"/>
      <c r="AC26" s="429"/>
      <c r="AD26" s="429"/>
      <c r="AE26" s="429"/>
      <c r="AI26" s="8"/>
      <c r="AJ26" s="8"/>
      <c r="AK26" s="8"/>
      <c r="AL26" s="8"/>
      <c r="AM26" s="8"/>
      <c r="AN26" s="8"/>
    </row>
    <row r="27" spans="1:41" ht="15" customHeight="1">
      <c r="B27" s="84" t="str">
        <f>IF(C12="English","Manufacturer to fill out",IF(C12="中文","[提出源记入栏］","[提出元記入欄］"))</f>
        <v>Manufacturer to fill out</v>
      </c>
      <c r="C27" s="5"/>
      <c r="E27" s="5"/>
      <c r="F27" s="5"/>
      <c r="G27" s="189"/>
      <c r="H27" s="83"/>
      <c r="I27" s="10"/>
      <c r="J27" s="10"/>
      <c r="K27" s="3"/>
      <c r="L27" s="3"/>
      <c r="P27" s="84"/>
      <c r="Q27" s="11"/>
      <c r="R27" s="11"/>
      <c r="S27" s="12"/>
      <c r="T27" s="190"/>
      <c r="AH27" s="8"/>
      <c r="AI27" s="8"/>
      <c r="AJ27" s="8"/>
      <c r="AK27" s="8"/>
      <c r="AL27" s="8"/>
      <c r="AM27" s="8"/>
      <c r="AN27" s="8"/>
    </row>
    <row r="28" spans="1:41" ht="22.05" customHeight="1">
      <c r="A28" s="3"/>
      <c r="B28" s="487" t="str">
        <f>IF(C12="English","Date(yy.mm.dd)",IF(C12="中文","发行日","発行日"))</f>
        <v>Date(yy.mm.dd)</v>
      </c>
      <c r="C28" s="485"/>
      <c r="D28" s="485"/>
      <c r="E28" s="485"/>
      <c r="F28" s="485"/>
      <c r="G28" s="486"/>
      <c r="H28" s="447" t="s">
        <v>25</v>
      </c>
      <c r="I28" s="471"/>
      <c r="J28" s="471"/>
      <c r="K28" s="471"/>
      <c r="L28" s="471"/>
      <c r="M28" s="471"/>
      <c r="N28" s="471"/>
      <c r="O28" s="471"/>
      <c r="P28" s="471"/>
      <c r="Q28" s="484" t="str">
        <f>IF(C12="English","E-mail",IF(C12="中文","邮箱地址","メールアドレス"))</f>
        <v>E-mail</v>
      </c>
      <c r="R28" s="485"/>
      <c r="S28" s="485"/>
      <c r="T28" s="485"/>
      <c r="U28" s="485"/>
      <c r="V28" s="486"/>
      <c r="W28" s="447" t="s">
        <v>29</v>
      </c>
      <c r="X28" s="448"/>
      <c r="Y28" s="448"/>
      <c r="Z28" s="448"/>
      <c r="AA28" s="448"/>
      <c r="AB28" s="448"/>
      <c r="AC28" s="448"/>
      <c r="AD28" s="448"/>
      <c r="AE28" s="448"/>
      <c r="AH28" s="8"/>
      <c r="AI28" s="8"/>
      <c r="AJ28" s="8"/>
      <c r="AK28" s="8"/>
      <c r="AL28" s="8"/>
      <c r="AM28" s="8"/>
      <c r="AN28" s="8"/>
    </row>
    <row r="29" spans="1:41" ht="22.05" customHeight="1">
      <c r="A29" s="3"/>
      <c r="B29" s="487" t="str">
        <f>IF(C12="English","Company name",IF(C12="中文","公司名称","会社名"))</f>
        <v>Company name</v>
      </c>
      <c r="C29" s="485"/>
      <c r="D29" s="485"/>
      <c r="E29" s="485"/>
      <c r="F29" s="485"/>
      <c r="G29" s="486"/>
      <c r="H29" s="499" t="s">
        <v>25</v>
      </c>
      <c r="I29" s="448"/>
      <c r="J29" s="448"/>
      <c r="K29" s="448"/>
      <c r="L29" s="448"/>
      <c r="M29" s="448"/>
      <c r="N29" s="448"/>
      <c r="O29" s="448"/>
      <c r="P29" s="500"/>
      <c r="Q29" s="484" t="str">
        <f>IF(C12="English","Phone number",IF(C12="中文","电话号码","電話番号"))</f>
        <v>Phone number</v>
      </c>
      <c r="R29" s="485"/>
      <c r="S29" s="485"/>
      <c r="T29" s="485"/>
      <c r="U29" s="485"/>
      <c r="V29" s="486"/>
      <c r="W29" s="447" t="s">
        <v>29</v>
      </c>
      <c r="X29" s="448"/>
      <c r="Y29" s="448"/>
      <c r="Z29" s="448"/>
      <c r="AA29" s="448"/>
      <c r="AB29" s="448"/>
      <c r="AC29" s="448"/>
      <c r="AD29" s="448"/>
      <c r="AE29" s="448"/>
      <c r="AH29" s="8"/>
      <c r="AI29" s="8"/>
      <c r="AJ29" s="8"/>
      <c r="AK29" s="8"/>
      <c r="AL29" s="8"/>
      <c r="AM29" s="8"/>
      <c r="AN29" s="8"/>
    </row>
    <row r="30" spans="1:41" ht="22.05" customHeight="1">
      <c r="A30" s="3"/>
      <c r="B30" s="501" t="str">
        <f>IF(C12="English","Division name",IF(C12="中文","部门名称","部署名"))</f>
        <v>Division name</v>
      </c>
      <c r="C30" s="501"/>
      <c r="D30" s="501"/>
      <c r="E30" s="501"/>
      <c r="F30" s="501"/>
      <c r="G30" s="502"/>
      <c r="H30" s="465" t="s">
        <v>24</v>
      </c>
      <c r="I30" s="466"/>
      <c r="J30" s="466"/>
      <c r="K30" s="466"/>
      <c r="L30" s="466"/>
      <c r="M30" s="466"/>
      <c r="N30" s="466"/>
      <c r="O30" s="466"/>
      <c r="P30" s="466"/>
      <c r="Q30" s="479" t="str">
        <f>IF(C12="English","Responsible person",IF(C12="中文","责任者名","責任者名"))</f>
        <v>Responsible person</v>
      </c>
      <c r="R30" s="480"/>
      <c r="S30" s="480"/>
      <c r="T30" s="480"/>
      <c r="U30" s="480"/>
      <c r="V30" s="481"/>
      <c r="W30" s="465" t="s">
        <v>29</v>
      </c>
      <c r="X30" s="467"/>
      <c r="Y30" s="467"/>
      <c r="Z30" s="467"/>
      <c r="AA30" s="467"/>
      <c r="AB30" s="467"/>
      <c r="AC30" s="467"/>
      <c r="AD30" s="467"/>
      <c r="AE30" s="467"/>
      <c r="AH30" s="8"/>
      <c r="AI30" s="8"/>
      <c r="AJ30" s="8"/>
      <c r="AK30" s="8"/>
      <c r="AL30" s="8"/>
      <c r="AM30" s="8"/>
      <c r="AN30" s="8"/>
    </row>
    <row r="31" spans="1:41" ht="22.05" customHeight="1">
      <c r="B31" s="487" t="str">
        <f>IF(C12="English","Written by",IF(C12="中文","填写者名","記入者名"))</f>
        <v>Written by</v>
      </c>
      <c r="C31" s="485"/>
      <c r="D31" s="485"/>
      <c r="E31" s="485"/>
      <c r="F31" s="485"/>
      <c r="G31" s="486"/>
      <c r="H31" s="447" t="s">
        <v>25</v>
      </c>
      <c r="I31" s="448"/>
      <c r="J31" s="448"/>
      <c r="K31" s="448"/>
      <c r="L31" s="448"/>
      <c r="M31" s="448"/>
      <c r="N31" s="448"/>
      <c r="O31" s="448"/>
      <c r="P31" s="448"/>
      <c r="Q31" s="468" t="str">
        <f>IF(C12="English"," Signature",IF(C12="中文","盖章","印　／　サイン"))</f>
        <v xml:space="preserve"> Signature</v>
      </c>
      <c r="R31" s="469"/>
      <c r="S31" s="469"/>
      <c r="T31" s="469"/>
      <c r="U31" s="469"/>
      <c r="V31" s="470"/>
      <c r="W31" s="482"/>
      <c r="X31" s="448"/>
      <c r="Y31" s="448"/>
      <c r="Z31" s="448"/>
      <c r="AA31" s="448"/>
      <c r="AB31" s="448"/>
      <c r="AC31" s="448"/>
      <c r="AD31" s="155" t="str">
        <f>IF(C12="English","",IF(C12="中文","盖章","印"))</f>
        <v/>
      </c>
      <c r="AE31" s="156"/>
    </row>
    <row r="32" spans="1:41" ht="10.050000000000001" customHeight="1">
      <c r="J32" s="83"/>
      <c r="K32" s="10"/>
      <c r="L32" s="10"/>
      <c r="M32" s="10"/>
      <c r="Y32" s="191"/>
    </row>
    <row r="33" spans="1:63" ht="14.55" customHeight="1">
      <c r="A33" s="84"/>
      <c r="B33" s="449" t="str">
        <f>IF(C12="English",AH34,IF(C12="中文",AH35,AH33))</f>
        <v>Our company warranties that our company do not use the prohibited substances required by "MinebeaMitsumi Group Green Procurement Standard EM10507 9th Edition", or the substances described as the target substance in "Prohibited substances required by customer list" of Appendix 1 or other request form equivalent to Appendix 1 except the following Claus2, for parts, units, components, raw materials, goods processed using such raw materials, subsidiary materials, and packaging materials for shipping MinebeaMitsumi products delivered to MinebeaMitsumi. With regard to the substances to which "MinebeaMitsumi Group regulation value" are indicated, our company will inform and confer with your company When your company judged that the content of substances exceeds "MinebeaMitsumi Group regulation value" and our company received that information, or when our company confirms that the content exceeds "Regulation value". And ,our company warranties that the packaging materials we use when delivering parts or parts units to your company comply with the requirements in Clause 3-8 of  EM10507.</v>
      </c>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84"/>
      <c r="AG33" s="157"/>
      <c r="AH33" s="139" t="s">
        <v>81</v>
      </c>
    </row>
    <row r="34" spans="1:63" ht="14.55" customHeight="1">
      <c r="A34" s="84"/>
      <c r="B34" s="449"/>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84"/>
      <c r="AG34" s="157"/>
      <c r="AH34" s="128" t="s">
        <v>83</v>
      </c>
    </row>
    <row r="35" spans="1:63" ht="14.55" customHeight="1">
      <c r="A35" s="84"/>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84"/>
      <c r="AG35" s="157"/>
      <c r="AH35" s="139" t="s">
        <v>84</v>
      </c>
    </row>
    <row r="36" spans="1:63" ht="14.55" customHeight="1">
      <c r="A36" s="84"/>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84"/>
      <c r="AG36" s="157"/>
      <c r="AH36" s="139"/>
    </row>
    <row r="37" spans="1:63" ht="14.55" customHeight="1">
      <c r="A37" s="84"/>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84"/>
      <c r="AG37" s="157"/>
    </row>
    <row r="38" spans="1:63" ht="14.55" customHeight="1">
      <c r="A38" s="84"/>
      <c r="B38" s="449"/>
      <c r="C38" s="449"/>
      <c r="D38" s="449"/>
      <c r="E38" s="449"/>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449"/>
      <c r="AD38" s="449"/>
      <c r="AE38" s="449"/>
      <c r="AF38" s="84"/>
      <c r="AH38" s="192"/>
      <c r="AI38" s="157"/>
    </row>
    <row r="39" spans="1:63" ht="14.55" customHeight="1">
      <c r="A39" s="84"/>
      <c r="B39" s="449"/>
      <c r="C39" s="449"/>
      <c r="D39" s="449"/>
      <c r="E39" s="449"/>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84"/>
      <c r="AH39" s="192"/>
      <c r="AI39" s="157"/>
    </row>
    <row r="40" spans="1:63" ht="14.55" customHeight="1">
      <c r="A40" s="84"/>
      <c r="B40" s="449"/>
      <c r="C40" s="449"/>
      <c r="D40" s="449"/>
      <c r="E40" s="449"/>
      <c r="F40" s="449"/>
      <c r="G40" s="449"/>
      <c r="H40" s="449"/>
      <c r="I40" s="449"/>
      <c r="J40" s="449"/>
      <c r="K40" s="449"/>
      <c r="L40" s="449"/>
      <c r="M40" s="449"/>
      <c r="N40" s="449"/>
      <c r="O40" s="449"/>
      <c r="P40" s="449"/>
      <c r="Q40" s="449"/>
      <c r="R40" s="449"/>
      <c r="S40" s="449"/>
      <c r="T40" s="449"/>
      <c r="U40" s="449"/>
      <c r="V40" s="449"/>
      <c r="W40" s="449"/>
      <c r="X40" s="449"/>
      <c r="Y40" s="449"/>
      <c r="Z40" s="449"/>
      <c r="AA40" s="449"/>
      <c r="AB40" s="449"/>
      <c r="AC40" s="449"/>
      <c r="AD40" s="449"/>
      <c r="AE40" s="449"/>
      <c r="AF40" s="84"/>
      <c r="AH40" s="192"/>
      <c r="AI40" s="157"/>
    </row>
    <row r="41" spans="1:63" ht="14.55" customHeight="1">
      <c r="A41" s="84"/>
      <c r="B41" s="449"/>
      <c r="C41" s="449"/>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49"/>
      <c r="AD41" s="449"/>
      <c r="AE41" s="449"/>
      <c r="AF41" s="84"/>
      <c r="AH41" s="192"/>
      <c r="AI41" s="157"/>
    </row>
    <row r="42" spans="1:63" ht="14.55" customHeight="1">
      <c r="A42" s="84"/>
      <c r="B42" s="450"/>
      <c r="C42" s="450"/>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84"/>
      <c r="AG42" s="13"/>
      <c r="AH42" s="13"/>
      <c r="AI42" s="3"/>
      <c r="AJ42" s="3"/>
      <c r="AK42" s="3"/>
      <c r="AL42" s="3"/>
      <c r="AM42" s="3"/>
      <c r="AN42" s="3"/>
    </row>
    <row r="43" spans="1:63" ht="30" customHeight="1">
      <c r="A43" s="84"/>
      <c r="B43" s="472" t="str">
        <f>VLOOKUP(C12,AH43:AJ45,IF(C5="有り / with / 是",2,3),FALSE)</f>
        <v xml:space="preserve"> With or Without Appendix 1: Without</v>
      </c>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13"/>
      <c r="AH43" s="142" t="s">
        <v>74</v>
      </c>
      <c r="AI43" s="143" t="s">
        <v>65</v>
      </c>
      <c r="AJ43" s="144" t="s">
        <v>55</v>
      </c>
      <c r="AK43" s="3"/>
      <c r="AL43" s="3"/>
      <c r="AM43" s="3"/>
      <c r="AN43" s="3"/>
    </row>
    <row r="44" spans="1:63" s="144" customFormat="1" ht="15" customHeight="1">
      <c r="A44" s="193"/>
      <c r="B44" s="430" t="str">
        <f>IF(C12="English","",IF(C12="中文","http://www.minebeamitsumi.com.cn/procurements_environment.aspx",""))</f>
        <v/>
      </c>
      <c r="C44" s="457"/>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194"/>
      <c r="AB44" s="194"/>
      <c r="AC44" s="194"/>
      <c r="AD44" s="194"/>
      <c r="AE44" s="194"/>
      <c r="AF44" s="194"/>
      <c r="AG44" s="141"/>
      <c r="AH44" s="2" t="s">
        <v>63</v>
      </c>
      <c r="AI44" s="130" t="s">
        <v>78</v>
      </c>
      <c r="AJ44" s="8" t="s">
        <v>75</v>
      </c>
      <c r="AM44" s="145"/>
    </row>
    <row r="45" spans="1:63" ht="16.05" customHeight="1">
      <c r="A45" s="195"/>
      <c r="B45" s="451" t="str">
        <f>IF(C12="English","Address where EM10507 is posted",IF(C12="中文","EM10507的揭示地址","EM10507 掲載アドレス"))</f>
        <v>Address where EM10507 is posted</v>
      </c>
      <c r="C45" s="451"/>
      <c r="D45" s="451"/>
      <c r="E45" s="451"/>
      <c r="F45" s="451"/>
      <c r="G45" s="451"/>
      <c r="H45" s="451"/>
      <c r="I45" s="451"/>
      <c r="J45" s="451"/>
      <c r="K45" s="451"/>
      <c r="L45" s="451"/>
      <c r="M45" s="451"/>
      <c r="N45" s="451"/>
      <c r="O45" s="451"/>
      <c r="P45" s="451"/>
      <c r="Q45" s="451"/>
      <c r="R45" s="451"/>
      <c r="S45" s="451"/>
      <c r="T45" s="451"/>
      <c r="U45" s="451"/>
      <c r="V45" s="451"/>
      <c r="W45" s="451"/>
      <c r="X45" s="451"/>
      <c r="Y45" s="451"/>
      <c r="Z45" s="451"/>
      <c r="AA45" s="451"/>
      <c r="AB45" s="451"/>
      <c r="AC45" s="451"/>
      <c r="AD45" s="451"/>
      <c r="AE45" s="451"/>
      <c r="AG45" s="157"/>
      <c r="AH45" s="2" t="s">
        <v>76</v>
      </c>
      <c r="AI45" s="130" t="s">
        <v>77</v>
      </c>
      <c r="AJ45" s="4" t="s">
        <v>59</v>
      </c>
      <c r="AK45" s="100"/>
      <c r="AL45" s="100"/>
      <c r="AM45" s="100"/>
      <c r="AN45" s="100"/>
      <c r="AO45" s="14"/>
      <c r="AP45" s="14"/>
      <c r="AQ45" s="14"/>
      <c r="AR45" s="14"/>
      <c r="AS45" s="14"/>
      <c r="AT45" s="14"/>
      <c r="AU45" s="14"/>
      <c r="AV45" s="14"/>
      <c r="AW45" s="14"/>
      <c r="AX45" s="14"/>
      <c r="AY45" s="14"/>
      <c r="AZ45" s="14"/>
      <c r="BA45" s="14"/>
      <c r="BB45" s="14"/>
      <c r="BC45" s="14"/>
      <c r="BD45" s="14"/>
      <c r="BE45" s="14"/>
      <c r="BF45" s="14"/>
      <c r="BG45" s="14"/>
      <c r="BH45" s="14"/>
      <c r="BI45" s="14"/>
      <c r="BJ45" s="14"/>
      <c r="BK45" s="14"/>
    </row>
    <row r="46" spans="1:63" ht="14.1" customHeight="1">
      <c r="A46" s="195"/>
      <c r="B46" s="430" t="str">
        <f>IF(C12="English","",IF(C12="中文","","http://www.minebeamitsumi.com/corp/company/procurements/green/index.html"))</f>
        <v/>
      </c>
      <c r="C46" s="457"/>
      <c r="D46" s="457"/>
      <c r="E46" s="457"/>
      <c r="F46" s="457"/>
      <c r="G46" s="457"/>
      <c r="H46" s="457"/>
      <c r="I46" s="457"/>
      <c r="J46" s="457"/>
      <c r="K46" s="457"/>
      <c r="L46" s="457"/>
      <c r="M46" s="457"/>
      <c r="N46" s="457"/>
      <c r="O46" s="457"/>
      <c r="P46" s="457"/>
      <c r="Q46" s="457"/>
      <c r="R46" s="457"/>
      <c r="S46" s="457"/>
      <c r="T46" s="457"/>
      <c r="U46" s="457"/>
      <c r="V46" s="457"/>
      <c r="W46" s="457"/>
      <c r="X46" s="457"/>
      <c r="Y46" s="457"/>
      <c r="Z46" s="457"/>
      <c r="AA46" s="170"/>
      <c r="AB46" s="170"/>
      <c r="AC46" s="170"/>
      <c r="AD46" s="170"/>
      <c r="AE46" s="170"/>
      <c r="AG46" s="157"/>
      <c r="AK46" s="144"/>
      <c r="AL46" s="100"/>
      <c r="AM46" s="100"/>
      <c r="AN46" s="100"/>
      <c r="AO46" s="14"/>
      <c r="AP46" s="14"/>
      <c r="AQ46" s="14"/>
      <c r="AR46" s="14"/>
      <c r="AS46" s="14"/>
      <c r="AT46" s="14"/>
      <c r="AU46" s="14"/>
      <c r="AV46" s="14"/>
      <c r="AW46" s="14"/>
      <c r="AX46" s="14"/>
      <c r="AY46" s="14"/>
      <c r="AZ46" s="14"/>
      <c r="BA46" s="14"/>
      <c r="BB46" s="14"/>
      <c r="BC46" s="14"/>
      <c r="BD46" s="14"/>
      <c r="BE46" s="14"/>
      <c r="BF46" s="14"/>
      <c r="BG46" s="14"/>
      <c r="BH46" s="14"/>
      <c r="BI46" s="14"/>
      <c r="BJ46" s="14"/>
      <c r="BK46" s="14"/>
    </row>
    <row r="47" spans="1:63" ht="14.1" customHeight="1">
      <c r="A47" s="195"/>
      <c r="B47" s="430" t="str">
        <f>IF(C12="English","https://www.minebeamitsumi.com/english/corp/company/procurements/green/ ",IF(C12="中文","",""))</f>
        <v xml:space="preserve">https://www.minebeamitsumi.com/english/corp/company/procurements/green/ </v>
      </c>
      <c r="C47" s="431"/>
      <c r="D47" s="431"/>
      <c r="E47" s="431"/>
      <c r="F47" s="431"/>
      <c r="G47" s="431"/>
      <c r="H47" s="431"/>
      <c r="I47" s="431"/>
      <c r="J47" s="431"/>
      <c r="K47" s="431"/>
      <c r="L47" s="431"/>
      <c r="M47" s="431"/>
      <c r="N47" s="431"/>
      <c r="O47" s="431"/>
      <c r="P47" s="431"/>
      <c r="Q47" s="431"/>
      <c r="R47" s="431"/>
      <c r="S47" s="431"/>
      <c r="T47" s="431"/>
      <c r="U47" s="431"/>
      <c r="V47" s="431"/>
      <c r="W47" s="431"/>
      <c r="X47" s="431"/>
      <c r="Y47" s="431"/>
      <c r="Z47" s="431"/>
      <c r="AA47" s="60"/>
      <c r="AB47" s="61"/>
      <c r="AC47" s="61"/>
      <c r="AD47" s="61"/>
      <c r="AE47" s="61"/>
      <c r="AF47" s="8"/>
      <c r="AG47" s="196"/>
      <c r="AH47" s="130"/>
      <c r="AI47" s="130"/>
      <c r="AJ47" s="8"/>
      <c r="AK47" s="3"/>
      <c r="AL47" s="100"/>
      <c r="AM47" s="100"/>
      <c r="AN47" s="100"/>
      <c r="AO47" s="14"/>
      <c r="AP47" s="14"/>
      <c r="AQ47" s="14"/>
      <c r="AR47" s="14"/>
      <c r="AS47" s="14"/>
      <c r="AT47" s="14"/>
      <c r="AU47" s="14"/>
      <c r="AV47" s="14"/>
      <c r="AW47" s="14"/>
      <c r="AX47" s="14"/>
      <c r="AY47" s="14"/>
      <c r="AZ47" s="14"/>
      <c r="BA47" s="14"/>
      <c r="BB47" s="14"/>
      <c r="BC47" s="14"/>
      <c r="BD47" s="14"/>
      <c r="BE47" s="14"/>
      <c r="BF47" s="14"/>
      <c r="BG47" s="14"/>
      <c r="BH47" s="14"/>
      <c r="BI47" s="14"/>
      <c r="BJ47" s="14"/>
    </row>
    <row r="48" spans="1:63" s="78" customFormat="1" ht="12" customHeight="1">
      <c r="A48" s="171"/>
      <c r="B48" s="70"/>
      <c r="C48" s="71"/>
      <c r="D48" s="72"/>
      <c r="E48" s="73"/>
      <c r="F48" s="73"/>
      <c r="G48" s="73"/>
      <c r="H48" s="70"/>
      <c r="I48" s="73"/>
      <c r="J48" s="73"/>
      <c r="K48" s="71"/>
      <c r="L48" s="73"/>
      <c r="M48" s="73"/>
      <c r="N48" s="73"/>
      <c r="O48" s="73"/>
      <c r="P48" s="73"/>
      <c r="Q48" s="72"/>
      <c r="R48" s="74"/>
      <c r="S48" s="73"/>
      <c r="T48" s="75"/>
      <c r="U48" s="76"/>
      <c r="V48" s="77"/>
      <c r="W48" s="77"/>
      <c r="X48" s="77"/>
      <c r="Y48" s="77"/>
      <c r="Z48" s="74"/>
      <c r="AA48" s="71"/>
      <c r="AB48" s="71"/>
      <c r="AC48" s="77"/>
      <c r="AD48" s="77"/>
      <c r="AE48" s="77"/>
      <c r="AF48" s="76"/>
      <c r="AG48" s="77"/>
      <c r="AI48" s="79"/>
      <c r="AM48" s="79"/>
    </row>
    <row r="49" spans="1:39" ht="16.5" customHeight="1">
      <c r="A49" s="15"/>
      <c r="B49" s="16" t="str">
        <f>IF(C12="English","1．Part name or Part number",IF(C12="中文","1．品名・品番号・图番号・条款编号","1．品名・品番・図番・アイテムコード"))</f>
        <v>1．Part name or Part number</v>
      </c>
      <c r="C49" s="15"/>
      <c r="G49" s="17"/>
      <c r="N49" s="84"/>
      <c r="AG49" s="83"/>
    </row>
    <row r="50" spans="1:39" ht="24" customHeight="1">
      <c r="C50" s="452" t="str">
        <f>IF(C12="English","Our part name, Manufacturer :",IF(C12="中文","本公司品名(厂家名):","弊社品名(ﾒｰｶｰ名)："))</f>
        <v>Our part name, Manufacturer :</v>
      </c>
      <c r="D50" s="453"/>
      <c r="E50" s="453"/>
      <c r="F50" s="453"/>
      <c r="G50" s="453"/>
      <c r="H50" s="454"/>
      <c r="I50" s="455"/>
      <c r="J50" s="455"/>
      <c r="K50" s="455"/>
      <c r="L50" s="455"/>
      <c r="M50" s="455"/>
      <c r="N50" s="455"/>
      <c r="O50" s="455"/>
      <c r="P50" s="455"/>
      <c r="R50" s="456" t="str">
        <f>IF(C12="English","Our part, Drawing number :",IF(C12="中文","本公司品番号, 图番 :","弊社品番,図番等："))</f>
        <v>Our part, Drawing number :</v>
      </c>
      <c r="S50" s="453"/>
      <c r="T50" s="453"/>
      <c r="U50" s="453"/>
      <c r="V50" s="453"/>
      <c r="W50" s="454"/>
      <c r="X50" s="455"/>
      <c r="Y50" s="455"/>
      <c r="Z50" s="455"/>
      <c r="AA50" s="455"/>
      <c r="AB50" s="455"/>
      <c r="AC50" s="455"/>
      <c r="AD50" s="455"/>
      <c r="AE50" s="455"/>
      <c r="AG50" s="59"/>
    </row>
    <row r="51" spans="1:39" ht="24" customHeight="1">
      <c r="C51" s="438" t="str">
        <f>IF(C12="English","MinebeaMitsumi part name :",IF(C12="中文","美蓓亚三美G 品名:","ﾐﾈﾍﾞｱﾐﾂﾐG品名："))</f>
        <v>MinebeaMitsumi part name :</v>
      </c>
      <c r="D51" s="438"/>
      <c r="E51" s="438"/>
      <c r="F51" s="438"/>
      <c r="G51" s="438"/>
      <c r="H51" s="439"/>
      <c r="I51" s="440"/>
      <c r="J51" s="440"/>
      <c r="K51" s="440"/>
      <c r="L51" s="440"/>
      <c r="M51" s="440"/>
      <c r="N51" s="440"/>
      <c r="O51" s="440"/>
      <c r="P51" s="440"/>
      <c r="Q51" s="3"/>
      <c r="R51" s="438" t="str">
        <f>IF(C12="English","MinebeaMitsumi G part RN :",IF(C12="中文","美蓓亚三美G 品番:","ﾐﾈﾍﾞｱﾐﾂﾐG品番："))</f>
        <v>MinebeaMitsumi G part RN :</v>
      </c>
      <c r="S51" s="438"/>
      <c r="T51" s="438"/>
      <c r="U51" s="438"/>
      <c r="V51" s="438"/>
      <c r="W51" s="441"/>
      <c r="X51" s="440"/>
      <c r="Y51" s="440"/>
      <c r="Z51" s="440"/>
      <c r="AA51" s="440"/>
      <c r="AB51" s="440"/>
      <c r="AC51" s="440"/>
      <c r="AD51" s="440"/>
      <c r="AE51" s="440"/>
      <c r="AG51" s="83"/>
    </row>
    <row r="52" spans="1:39" ht="24" customHeight="1">
      <c r="C52" s="474" t="str">
        <f>IF(C12="English","MinebeaMitsumi Drawing RN :",IF(C12="中文","美蓓亚三美G 图番","ﾐﾈﾍﾞｱﾐﾂﾐG図番："))</f>
        <v>MinebeaMitsumi Drawing RN :</v>
      </c>
      <c r="D52" s="474"/>
      <c r="E52" s="474"/>
      <c r="F52" s="474"/>
      <c r="G52" s="474"/>
      <c r="H52" s="439"/>
      <c r="I52" s="440"/>
      <c r="J52" s="440"/>
      <c r="K52" s="440"/>
      <c r="L52" s="440"/>
      <c r="M52" s="440"/>
      <c r="N52" s="440"/>
      <c r="O52" s="440"/>
      <c r="P52" s="440"/>
      <c r="Q52" s="3"/>
      <c r="R52" s="475" t="str">
        <f>IF(C12="English","MinebeaMitsumi Item code :",IF(C12="中文","美蓓亚三美条款编号","ﾐﾈﾍﾞｱﾐﾂﾐGｱｲﾃﾑｺｰﾄﾞ："))</f>
        <v>MinebeaMitsumi Item code :</v>
      </c>
      <c r="S52" s="474"/>
      <c r="T52" s="474"/>
      <c r="U52" s="474"/>
      <c r="V52" s="474"/>
      <c r="W52" s="441"/>
      <c r="X52" s="440"/>
      <c r="Y52" s="440"/>
      <c r="Z52" s="440"/>
      <c r="AA52" s="440"/>
      <c r="AB52" s="440"/>
      <c r="AC52" s="440"/>
      <c r="AD52" s="440"/>
      <c r="AE52" s="440"/>
      <c r="AG52" s="83"/>
      <c r="AM52" s="14"/>
    </row>
    <row r="53" spans="1:39" ht="10.050000000000001" customHeight="1">
      <c r="D53" s="18"/>
      <c r="E53" s="3"/>
      <c r="F53" s="3"/>
      <c r="G53" s="3"/>
      <c r="H53" s="5"/>
      <c r="I53" s="5"/>
      <c r="J53" s="5"/>
      <c r="K53" s="5"/>
      <c r="L53" s="5"/>
      <c r="M53" s="5"/>
      <c r="N53" s="5"/>
      <c r="O53" s="17"/>
      <c r="P53" s="19"/>
      <c r="Q53" s="7"/>
      <c r="R53" s="7"/>
      <c r="S53" s="5"/>
      <c r="T53" s="5"/>
      <c r="U53" s="5"/>
      <c r="V53" s="5"/>
      <c r="W53" s="5"/>
      <c r="X53" s="5"/>
      <c r="Y53" s="5"/>
      <c r="Z53" s="5"/>
      <c r="AA53" s="5"/>
      <c r="AB53" s="5"/>
    </row>
    <row r="54" spans="1:39" ht="16.05" customHeight="1">
      <c r="B54" s="20"/>
      <c r="C54" s="435"/>
      <c r="D54" s="435"/>
      <c r="E54" s="444" t="str">
        <f>IF(C12="English","Certificate of Non-use list is attached due to the large number of parts being reported on(also Clause 2）",IF(C12="中文","由于部品数量多，附上不使用证明书一览表并报告(包含2项)。","部品が多数のため不使用証明書リストを添付して報告します(2項を含む)。"))</f>
        <v>Certificate of Non-use list is attached due to the large number of parts being reported on(also Clause 2）</v>
      </c>
      <c r="F54" s="445"/>
      <c r="G54" s="445"/>
      <c r="H54" s="445"/>
      <c r="I54" s="445"/>
      <c r="J54" s="445"/>
      <c r="K54" s="445"/>
      <c r="L54" s="445"/>
      <c r="M54" s="445"/>
      <c r="N54" s="445"/>
      <c r="O54" s="445"/>
      <c r="P54" s="445"/>
      <c r="Q54" s="445"/>
      <c r="R54" s="445"/>
      <c r="S54" s="445"/>
      <c r="T54" s="445"/>
      <c r="U54" s="445"/>
      <c r="V54" s="445"/>
      <c r="W54" s="445"/>
      <c r="X54" s="445"/>
      <c r="Y54" s="445"/>
      <c r="Z54" s="446"/>
      <c r="AA54" s="446"/>
      <c r="AB54" s="446"/>
      <c r="AC54" s="446"/>
      <c r="AD54" s="446"/>
      <c r="AE54" s="446"/>
      <c r="AH54" s="3"/>
      <c r="AK54" s="3"/>
    </row>
    <row r="55" spans="1:39" ht="10.050000000000001" customHeight="1">
      <c r="D55" s="18"/>
      <c r="E55" s="3"/>
      <c r="F55" s="3"/>
      <c r="G55" s="3"/>
      <c r="H55" s="5"/>
      <c r="I55" s="5"/>
      <c r="J55" s="5"/>
      <c r="K55" s="5"/>
      <c r="L55" s="5"/>
      <c r="M55" s="5"/>
      <c r="N55" s="5"/>
      <c r="O55" s="17"/>
      <c r="P55" s="19"/>
      <c r="Q55" s="7"/>
      <c r="R55" s="7"/>
      <c r="S55" s="5"/>
      <c r="T55" s="5"/>
      <c r="U55" s="5"/>
      <c r="V55" s="5"/>
      <c r="W55" s="5"/>
      <c r="X55" s="5"/>
      <c r="Y55" s="5"/>
      <c r="Z55" s="5"/>
      <c r="AA55" s="5"/>
      <c r="AB55" s="5"/>
    </row>
    <row r="56" spans="1:39" ht="15" customHeight="1">
      <c r="B56" s="20" t="str">
        <f>IF(C12="English","2．RoHS directive Exemptions",IF(C12="中文","2．RoHS指令适用除外用途","2．RoHS指令 適用除外用途"))</f>
        <v>2．RoHS directive Exemptions</v>
      </c>
      <c r="C56" s="21"/>
      <c r="D56" s="157"/>
      <c r="E56" s="8"/>
      <c r="F56" s="8"/>
      <c r="G56" s="8"/>
      <c r="H56" s="20"/>
      <c r="I56" s="8"/>
      <c r="J56" s="8"/>
      <c r="K56" s="21"/>
      <c r="L56" s="21"/>
      <c r="M56" s="8"/>
      <c r="N56" s="8"/>
      <c r="O56" s="8"/>
      <c r="P56" s="8"/>
      <c r="Q56" s="152"/>
      <c r="R56" s="8"/>
      <c r="S56" s="22"/>
      <c r="T56" s="4"/>
      <c r="U56" s="13"/>
      <c r="V56" s="13"/>
      <c r="W56" s="13"/>
      <c r="X56" s="152"/>
      <c r="Y56" s="21"/>
      <c r="Z56" s="21"/>
      <c r="AA56" s="13"/>
      <c r="AB56" s="13"/>
      <c r="AC56" s="13"/>
      <c r="AD56" s="13"/>
      <c r="AE56" s="4"/>
    </row>
    <row r="57" spans="1:39" ht="16.05" customHeight="1">
      <c r="B57" s="20"/>
      <c r="C57" s="435"/>
      <c r="D57" s="435"/>
      <c r="E57" s="442" t="str">
        <f>IF(C12="English","RoHS directive prohibited substance under the scope of exemptions is not used.",IF(C12="中文","没有符合适用除外的部材","適用除外に該当する部材はありません。"))</f>
        <v>RoHS directive prohibited substance under the scope of exemptions is not used.</v>
      </c>
      <c r="F57" s="458"/>
      <c r="G57" s="458"/>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K57" s="84"/>
    </row>
    <row r="58" spans="1:39" ht="10.050000000000001" customHeight="1">
      <c r="B58" s="20"/>
      <c r="C58" s="21"/>
      <c r="D58" s="157"/>
      <c r="E58" s="8"/>
      <c r="F58" s="8"/>
      <c r="G58" s="8"/>
      <c r="H58" s="20"/>
      <c r="I58" s="8"/>
      <c r="J58" s="8"/>
      <c r="K58" s="21"/>
      <c r="L58" s="21"/>
      <c r="M58" s="8"/>
      <c r="N58" s="8"/>
      <c r="O58" s="8"/>
      <c r="P58" s="8"/>
      <c r="Q58" s="152"/>
      <c r="R58" s="8"/>
      <c r="S58" s="22"/>
      <c r="T58" s="4"/>
      <c r="U58" s="13"/>
      <c r="V58" s="13"/>
      <c r="W58" s="13"/>
      <c r="X58" s="152"/>
      <c r="Y58" s="21"/>
      <c r="Z58" s="21"/>
      <c r="AA58" s="13"/>
      <c r="AB58" s="13"/>
      <c r="AC58" s="13"/>
      <c r="AD58" s="13"/>
      <c r="AE58" s="4"/>
    </row>
    <row r="59" spans="1:39" ht="16.05" customHeight="1">
      <c r="B59" s="20"/>
      <c r="C59" s="435"/>
      <c r="D59" s="435"/>
      <c r="E59" s="442" t="str">
        <f>IF(C12="English","RoHS directive prohibited substance under the scope of exemption is used.",IF(C12="中文","在符合适用除外用途使用RoHS指令禁止物质","適用除外に該当する用途でRoHS指令禁止物質を使用しています。"))</f>
        <v>RoHS directive prohibited substance under the scope of exemption is used.</v>
      </c>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I59" s="84"/>
    </row>
    <row r="60" spans="1:39" ht="10.050000000000001" customHeight="1">
      <c r="B60" s="20"/>
      <c r="C60" s="3"/>
      <c r="D60" s="3"/>
      <c r="E60" s="157"/>
      <c r="F60" s="3"/>
      <c r="G60" s="3"/>
      <c r="H60" s="3"/>
      <c r="I60" s="3"/>
      <c r="J60" s="3"/>
      <c r="K60" s="3"/>
      <c r="L60" s="3"/>
      <c r="M60" s="3"/>
      <c r="N60" s="3"/>
      <c r="O60" s="3"/>
      <c r="P60" s="3"/>
      <c r="Q60" s="3"/>
      <c r="R60" s="3"/>
      <c r="S60" s="3"/>
      <c r="T60" s="3"/>
      <c r="U60" s="3"/>
      <c r="V60" s="3"/>
      <c r="W60" s="3"/>
      <c r="X60" s="3"/>
      <c r="Y60" s="3"/>
      <c r="Z60" s="3"/>
      <c r="AA60" s="3"/>
      <c r="AB60" s="3"/>
      <c r="AC60" s="13"/>
      <c r="AD60" s="13"/>
      <c r="AE60" s="4"/>
      <c r="AI60" s="84"/>
    </row>
    <row r="61" spans="1:39" s="23" customFormat="1">
      <c r="B61" s="24"/>
      <c r="C61" s="432" t="str">
        <f>IF(C12="English","We fill the number of the exemption, the name of the contained substance, CAS RN, and the region below.",IF(C12="中文","记载以下适用除外用途的No.、含有物质名称、CAS RN","以下に適用除外用途のNo.、含有する物質名、CAS RN、部位を記載します。"))</f>
        <v>We fill the number of the exemption, the name of the contained substance, CAS RN, and the region below.</v>
      </c>
      <c r="D61" s="433"/>
      <c r="E61" s="433"/>
      <c r="F61" s="433"/>
      <c r="G61" s="433"/>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3"/>
      <c r="AG61" s="85"/>
      <c r="AH61" s="129"/>
      <c r="AJ61" s="153"/>
    </row>
    <row r="62" spans="1:39" s="23" customFormat="1">
      <c r="B62" s="24"/>
      <c r="C62" s="432" t="str">
        <f>IF(C12="English","※Refer to the following for exemptions ",IF(C12="中文","※适用除外参照处","※適用除外参照先"))</f>
        <v xml:space="preserve">※Refer to the following for exemptions </v>
      </c>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G62" s="85"/>
      <c r="AH62" s="129"/>
      <c r="AJ62" s="153"/>
    </row>
    <row r="63" spans="1:39" s="23" customFormat="1">
      <c r="B63" s="24"/>
      <c r="C63" s="436" t="s">
        <v>73</v>
      </c>
      <c r="D63" s="437"/>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G63" s="85"/>
      <c r="AH63" s="129"/>
      <c r="AJ63" s="153"/>
    </row>
    <row r="64" spans="1:39" s="23" customFormat="1" ht="16.05" customHeight="1">
      <c r="B64" s="24"/>
      <c r="C64" s="25"/>
      <c r="D64" s="462" t="str">
        <f>IF(C12="English","Exempt No.",IF(C12="中文","适用除外No.:","適用除外No. "))</f>
        <v>Exempt No.</v>
      </c>
      <c r="E64" s="463"/>
      <c r="F64" s="463"/>
      <c r="G64" s="463"/>
      <c r="H64" s="464"/>
      <c r="I64" s="462" t="str">
        <f>IF(C12="English","Substance name",IF(C12="中文","物质名称","物質名"))</f>
        <v>Substance name</v>
      </c>
      <c r="J64" s="463"/>
      <c r="K64" s="463"/>
      <c r="L64" s="463"/>
      <c r="M64" s="463"/>
      <c r="N64" s="463"/>
      <c r="O64" s="463"/>
      <c r="P64" s="463"/>
      <c r="Q64" s="464"/>
      <c r="R64" s="462" t="str">
        <f>IF(C12="English","CAS RN ",IF(C12="中文","CAS RN ","CAS RN "))</f>
        <v xml:space="preserve">CAS RN </v>
      </c>
      <c r="S64" s="463"/>
      <c r="T64" s="463"/>
      <c r="U64" s="463"/>
      <c r="V64" s="463"/>
      <c r="W64" s="463"/>
      <c r="X64" s="464"/>
      <c r="Y64" s="462" t="str">
        <f>IF(C12="English","Region",IF(C12="中文","部位","部位"))</f>
        <v>Region</v>
      </c>
      <c r="Z64" s="463"/>
      <c r="AA64" s="463"/>
      <c r="AB64" s="463"/>
      <c r="AC64" s="463"/>
      <c r="AD64" s="463"/>
      <c r="AE64" s="464"/>
      <c r="AG64" s="85"/>
      <c r="AH64" s="129"/>
      <c r="AL64" s="26"/>
    </row>
    <row r="65" spans="1:37" s="23" customFormat="1" ht="17.100000000000001" customHeight="1">
      <c r="B65" s="24"/>
      <c r="C65" s="27">
        <v>1</v>
      </c>
      <c r="D65" s="461"/>
      <c r="E65" s="461"/>
      <c r="F65" s="461"/>
      <c r="G65" s="461"/>
      <c r="H65" s="461"/>
      <c r="I65" s="461"/>
      <c r="J65" s="461"/>
      <c r="K65" s="461"/>
      <c r="L65" s="461"/>
      <c r="M65" s="461"/>
      <c r="N65" s="461"/>
      <c r="O65" s="461"/>
      <c r="P65" s="461"/>
      <c r="Q65" s="461"/>
      <c r="R65" s="408"/>
      <c r="S65" s="409"/>
      <c r="T65" s="409"/>
      <c r="U65" s="409"/>
      <c r="V65" s="409"/>
      <c r="W65" s="409"/>
      <c r="X65" s="410"/>
      <c r="Y65" s="408"/>
      <c r="Z65" s="409"/>
      <c r="AA65" s="409"/>
      <c r="AB65" s="409"/>
      <c r="AC65" s="409"/>
      <c r="AD65" s="409"/>
      <c r="AE65" s="410"/>
      <c r="AG65" s="85"/>
      <c r="AH65" s="129"/>
    </row>
    <row r="66" spans="1:37" s="23" customFormat="1" ht="17.100000000000001" customHeight="1">
      <c r="B66" s="24"/>
      <c r="C66" s="27">
        <v>2</v>
      </c>
      <c r="D66" s="461"/>
      <c r="E66" s="461"/>
      <c r="F66" s="461"/>
      <c r="G66" s="461"/>
      <c r="H66" s="461"/>
      <c r="I66" s="461"/>
      <c r="J66" s="461"/>
      <c r="K66" s="461"/>
      <c r="L66" s="461"/>
      <c r="M66" s="461"/>
      <c r="N66" s="461"/>
      <c r="O66" s="461"/>
      <c r="P66" s="461"/>
      <c r="Q66" s="461"/>
      <c r="R66" s="408"/>
      <c r="S66" s="409"/>
      <c r="T66" s="409"/>
      <c r="U66" s="409"/>
      <c r="V66" s="409"/>
      <c r="W66" s="409"/>
      <c r="X66" s="410"/>
      <c r="Y66" s="408"/>
      <c r="Z66" s="409"/>
      <c r="AA66" s="409"/>
      <c r="AB66" s="409"/>
      <c r="AC66" s="409"/>
      <c r="AD66" s="409"/>
      <c r="AE66" s="410"/>
      <c r="AG66" s="85"/>
      <c r="AH66" s="129"/>
    </row>
    <row r="67" spans="1:37" s="23" customFormat="1" ht="17.100000000000001" customHeight="1">
      <c r="B67" s="24"/>
      <c r="C67" s="27">
        <v>3</v>
      </c>
      <c r="D67" s="461"/>
      <c r="E67" s="461"/>
      <c r="F67" s="461"/>
      <c r="G67" s="461"/>
      <c r="H67" s="461"/>
      <c r="I67" s="461"/>
      <c r="J67" s="461"/>
      <c r="K67" s="461"/>
      <c r="L67" s="461"/>
      <c r="M67" s="461"/>
      <c r="N67" s="461"/>
      <c r="O67" s="461"/>
      <c r="P67" s="461"/>
      <c r="Q67" s="461"/>
      <c r="R67" s="408"/>
      <c r="S67" s="409"/>
      <c r="T67" s="409"/>
      <c r="U67" s="409"/>
      <c r="V67" s="409"/>
      <c r="W67" s="409"/>
      <c r="X67" s="410"/>
      <c r="Y67" s="408"/>
      <c r="Z67" s="409"/>
      <c r="AA67" s="409"/>
      <c r="AB67" s="409"/>
      <c r="AC67" s="409"/>
      <c r="AD67" s="409"/>
      <c r="AE67" s="410"/>
      <c r="AG67" s="85"/>
      <c r="AH67" s="129"/>
    </row>
    <row r="68" spans="1:37" s="23" customFormat="1" ht="17.100000000000001" customHeight="1">
      <c r="B68" s="24"/>
      <c r="C68" s="27">
        <v>4</v>
      </c>
      <c r="D68" s="461"/>
      <c r="E68" s="461"/>
      <c r="F68" s="461"/>
      <c r="G68" s="461"/>
      <c r="H68" s="461"/>
      <c r="I68" s="461"/>
      <c r="J68" s="461"/>
      <c r="K68" s="461"/>
      <c r="L68" s="461"/>
      <c r="M68" s="461"/>
      <c r="N68" s="461"/>
      <c r="O68" s="461"/>
      <c r="P68" s="461"/>
      <c r="Q68" s="461"/>
      <c r="R68" s="408"/>
      <c r="S68" s="409"/>
      <c r="T68" s="409"/>
      <c r="U68" s="409"/>
      <c r="V68" s="409"/>
      <c r="W68" s="409"/>
      <c r="X68" s="410"/>
      <c r="Y68" s="408"/>
      <c r="Z68" s="409"/>
      <c r="AA68" s="409"/>
      <c r="AB68" s="409"/>
      <c r="AC68" s="409"/>
      <c r="AD68" s="409"/>
      <c r="AE68" s="410"/>
      <c r="AG68" s="85"/>
      <c r="AH68" s="129"/>
    </row>
    <row r="69" spans="1:37" s="23" customFormat="1" ht="17.100000000000001" customHeight="1">
      <c r="B69" s="24"/>
      <c r="C69" s="27">
        <v>5</v>
      </c>
      <c r="D69" s="408"/>
      <c r="E69" s="409"/>
      <c r="F69" s="409"/>
      <c r="G69" s="409"/>
      <c r="H69" s="410"/>
      <c r="I69" s="408"/>
      <c r="J69" s="409"/>
      <c r="K69" s="409"/>
      <c r="L69" s="409"/>
      <c r="M69" s="409"/>
      <c r="N69" s="409"/>
      <c r="O69" s="409"/>
      <c r="P69" s="409"/>
      <c r="Q69" s="410"/>
      <c r="R69" s="408"/>
      <c r="S69" s="409"/>
      <c r="T69" s="409"/>
      <c r="U69" s="409"/>
      <c r="V69" s="409"/>
      <c r="W69" s="409"/>
      <c r="X69" s="410"/>
      <c r="Y69" s="408"/>
      <c r="Z69" s="409"/>
      <c r="AA69" s="409"/>
      <c r="AB69" s="409"/>
      <c r="AC69" s="409"/>
      <c r="AD69" s="409"/>
      <c r="AE69" s="410"/>
      <c r="AG69" s="85"/>
      <c r="AH69" s="129"/>
    </row>
    <row r="70" spans="1:37" s="23" customFormat="1" ht="9.75" customHeight="1">
      <c r="B70" s="28"/>
      <c r="C70" s="28"/>
      <c r="D70" s="28"/>
      <c r="E70" s="28"/>
      <c r="F70" s="28"/>
      <c r="G70" s="28"/>
      <c r="H70" s="28"/>
      <c r="I70" s="28"/>
      <c r="J70" s="28"/>
      <c r="K70" s="28"/>
      <c r="L70" s="28"/>
      <c r="M70" s="28"/>
      <c r="N70" s="28"/>
      <c r="O70" s="29"/>
      <c r="P70" s="28"/>
      <c r="Q70" s="28"/>
      <c r="R70" s="28"/>
      <c r="S70" s="28"/>
      <c r="AG70" s="85"/>
      <c r="AH70" s="129"/>
    </row>
    <row r="71" spans="1:37" ht="13.5" customHeight="1">
      <c r="B71" s="30"/>
      <c r="C71" s="197"/>
      <c r="D71" s="31"/>
      <c r="E71" s="31"/>
      <c r="F71" s="31"/>
      <c r="G71" s="31"/>
      <c r="H71" s="31"/>
      <c r="I71" s="31"/>
      <c r="J71" s="31"/>
      <c r="K71" s="31"/>
      <c r="L71" s="31"/>
      <c r="M71" s="31"/>
      <c r="N71" s="31"/>
      <c r="O71" s="31"/>
      <c r="P71" s="31"/>
      <c r="Q71" s="157"/>
      <c r="R71" s="157"/>
      <c r="S71" s="32"/>
      <c r="T71" s="157"/>
      <c r="U71" s="157"/>
      <c r="V71" s="157"/>
      <c r="W71" s="157"/>
      <c r="X71" s="157"/>
      <c r="Y71" s="157"/>
      <c r="Z71" s="399" t="s">
        <v>86</v>
      </c>
      <c r="AA71" s="399"/>
      <c r="AB71" s="399"/>
      <c r="AC71" s="399"/>
      <c r="AD71" s="399"/>
      <c r="AE71" s="399"/>
      <c r="AH71" s="3"/>
      <c r="AI71" s="3"/>
      <c r="AJ71" s="3"/>
      <c r="AK71" s="3"/>
    </row>
    <row r="72" spans="1:37" ht="13.5" customHeight="1">
      <c r="B72" s="30"/>
      <c r="C72" s="197"/>
      <c r="D72" s="31"/>
      <c r="E72" s="31"/>
      <c r="F72" s="31"/>
      <c r="G72" s="31"/>
      <c r="H72" s="31"/>
      <c r="I72" s="31"/>
      <c r="J72" s="31"/>
      <c r="K72" s="31"/>
      <c r="L72" s="31"/>
      <c r="M72" s="31"/>
      <c r="N72" s="31"/>
      <c r="O72" s="31"/>
      <c r="P72" s="31"/>
      <c r="Q72" s="157"/>
      <c r="R72" s="157"/>
      <c r="S72" s="32"/>
      <c r="T72" s="157"/>
      <c r="U72" s="157"/>
      <c r="V72" s="157"/>
      <c r="W72" s="157"/>
      <c r="X72" s="157"/>
      <c r="Y72" s="157"/>
      <c r="Z72" s="33"/>
      <c r="AA72" s="33"/>
      <c r="AB72" s="33"/>
      <c r="AC72" s="33"/>
      <c r="AD72" s="33"/>
      <c r="AE72" s="33"/>
      <c r="AH72" s="3"/>
      <c r="AI72" s="3"/>
      <c r="AJ72" s="3"/>
      <c r="AK72" s="3"/>
    </row>
    <row r="73" spans="1:37" ht="13.5" customHeight="1">
      <c r="B73" s="30"/>
      <c r="C73" s="197"/>
      <c r="D73" s="31"/>
      <c r="E73" s="31"/>
      <c r="F73" s="31"/>
      <c r="G73" s="31"/>
      <c r="H73" s="31"/>
      <c r="I73" s="31"/>
      <c r="J73" s="31"/>
      <c r="K73" s="31"/>
      <c r="L73" s="31"/>
      <c r="M73" s="31"/>
      <c r="N73" s="31"/>
      <c r="O73" s="31"/>
      <c r="P73" s="31"/>
      <c r="Q73" s="157"/>
      <c r="R73" s="157"/>
      <c r="S73" s="32"/>
      <c r="T73" s="157"/>
      <c r="U73" s="157"/>
      <c r="V73" s="157"/>
      <c r="W73" s="157"/>
      <c r="X73" s="157"/>
      <c r="Y73" s="157"/>
      <c r="Z73" s="33"/>
      <c r="AA73" s="33"/>
      <c r="AB73" s="33"/>
      <c r="AC73" s="33"/>
      <c r="AD73" s="33"/>
      <c r="AE73" s="33"/>
      <c r="AH73" s="3"/>
      <c r="AI73" s="3"/>
      <c r="AJ73" s="3"/>
      <c r="AK73" s="3"/>
    </row>
    <row r="74" spans="1:37" ht="20.100000000000001" customHeight="1">
      <c r="A74" s="17"/>
      <c r="B74" s="42" t="str">
        <f>IF(C12="English","Prohibited substances",IF(C12="中文","禁用物质","禁止物質"))</f>
        <v>Prohibited substances</v>
      </c>
      <c r="C74" s="17"/>
      <c r="D74" s="35"/>
      <c r="E74" s="17"/>
      <c r="F74" s="17"/>
    </row>
    <row r="75" spans="1:37" ht="15" customHeight="1">
      <c r="B75" s="83"/>
      <c r="C75" s="83" t="str">
        <f>IF(C12="English","Please enter ○ in the check column in the case of conformity, .",IF(C12="中文","符合时请在确认栏填写〇。","＊適合の場合はチェック欄に○を記入ください。"))</f>
        <v>Please enter ○ in the check column in the case of conformity, .</v>
      </c>
      <c r="D75" s="83"/>
      <c r="E75" s="83"/>
      <c r="F75" s="83"/>
      <c r="G75" s="83"/>
      <c r="H75" s="83"/>
      <c r="I75" s="83"/>
      <c r="J75" s="83"/>
      <c r="K75" s="83"/>
      <c r="L75" s="83"/>
      <c r="M75" s="83"/>
      <c r="N75" s="36"/>
      <c r="O75" s="157"/>
      <c r="P75" s="157"/>
      <c r="V75" s="123"/>
      <c r="W75" s="198"/>
      <c r="X75" s="198"/>
      <c r="Y75" s="198"/>
      <c r="Z75" s="198"/>
      <c r="AA75" s="198"/>
      <c r="AB75" s="198"/>
      <c r="AC75" s="198"/>
      <c r="AD75" s="198"/>
      <c r="AE75" s="198"/>
    </row>
    <row r="76" spans="1:37" ht="30" customHeight="1">
      <c r="B76" s="83"/>
      <c r="C76" s="202" t="s">
        <v>42</v>
      </c>
      <c r="D76" s="400" t="str">
        <f>IF(C12="English","Chemical substances",IF(C12="中文","物　质  名","物  質  名"))</f>
        <v>Chemical substances</v>
      </c>
      <c r="E76" s="401"/>
      <c r="F76" s="401"/>
      <c r="G76" s="401"/>
      <c r="H76" s="401"/>
      <c r="I76" s="401"/>
      <c r="J76" s="401"/>
      <c r="K76" s="401"/>
      <c r="L76" s="401"/>
      <c r="M76" s="401"/>
      <c r="N76" s="401"/>
      <c r="O76" s="401"/>
      <c r="P76" s="401"/>
      <c r="Q76" s="402" t="str">
        <f>IF(C12="English","Objects of Regulations",IF(C12="中文","限制对象","規制対象"))</f>
        <v>Objects of Regulations</v>
      </c>
      <c r="R76" s="403"/>
      <c r="S76" s="403"/>
      <c r="T76" s="403"/>
      <c r="U76" s="403"/>
      <c r="V76" s="403"/>
      <c r="W76" s="403"/>
      <c r="X76" s="400" t="str">
        <f>IF(C12="English","Regulation value   (ppm)",IF(C12="中文","限制值(ppm)","規制値(ppm)"))</f>
        <v>Regulation value   (ppm)</v>
      </c>
      <c r="Y76" s="401"/>
      <c r="Z76" s="401"/>
      <c r="AA76" s="401"/>
      <c r="AB76" s="401"/>
      <c r="AC76" s="402" t="str">
        <f>IF(C12="English","Check",IF(C12="中文","检查栏","チェック欄"))</f>
        <v>Check</v>
      </c>
      <c r="AD76" s="402"/>
      <c r="AE76" s="403"/>
    </row>
    <row r="77" spans="1:37" ht="15" customHeight="1">
      <c r="B77" s="84"/>
      <c r="C77" s="248">
        <v>1</v>
      </c>
      <c r="D77" s="401" t="str">
        <f>IF(C12="English","Cadmium and its compounds",IF(C12="中文"," 镉及其化合物","カドミウムおよびその化合物"))</f>
        <v>Cadmium and its compounds</v>
      </c>
      <c r="E77" s="401"/>
      <c r="F77" s="401"/>
      <c r="G77" s="401"/>
      <c r="H77" s="401"/>
      <c r="I77" s="401"/>
      <c r="J77" s="401"/>
      <c r="K77" s="401"/>
      <c r="L77" s="401"/>
      <c r="M77" s="401"/>
      <c r="N77" s="401"/>
      <c r="O77" s="401"/>
      <c r="P77" s="401"/>
      <c r="Q77" s="263" t="str">
        <f>IF(C12="English","All uses (except for the exemption)  
Details refer to EM10507 6-1 Prohibited substances",IF(C12="中文","所有用途（除去适用除外）
限制对象的详细请参照EM10507 6-1 禁止物质","全ての用途（適用除外を除く）
規制対象の詳細は、EM10507 6-1 禁止物質を参照下さい"))</f>
        <v>All uses (except for the exemption)  
Details refer to EM10507 6-1 Prohibited substances</v>
      </c>
      <c r="R77" s="411"/>
      <c r="S77" s="411"/>
      <c r="T77" s="411"/>
      <c r="U77" s="411"/>
      <c r="V77" s="411"/>
      <c r="W77" s="412"/>
      <c r="X77" s="401"/>
      <c r="Y77" s="401"/>
      <c r="Z77" s="401"/>
      <c r="AA77" s="401"/>
      <c r="AB77" s="401"/>
      <c r="AC77" s="251"/>
      <c r="AD77" s="252"/>
      <c r="AE77" s="416"/>
    </row>
    <row r="78" spans="1:37" ht="15" customHeight="1">
      <c r="B78" s="17"/>
      <c r="C78" s="332"/>
      <c r="D78" s="339" t="str">
        <f>IF(C12="English","Plastic, ink, grease, adhesives, etc.",IF(C12="中文","树脂,油墨,润滑油脂,胶合剂等","プラスチック,インキ,グリス,接着剤など"))</f>
        <v>Plastic, ink, grease, adhesives, etc.</v>
      </c>
      <c r="E78" s="340"/>
      <c r="F78" s="340"/>
      <c r="G78" s="340"/>
      <c r="H78" s="340"/>
      <c r="I78" s="340"/>
      <c r="J78" s="340"/>
      <c r="K78" s="340"/>
      <c r="L78" s="340"/>
      <c r="M78" s="340"/>
      <c r="N78" s="340"/>
      <c r="O78" s="340"/>
      <c r="P78" s="341"/>
      <c r="Q78" s="413"/>
      <c r="R78" s="414"/>
      <c r="S78" s="414"/>
      <c r="T78" s="414"/>
      <c r="U78" s="414"/>
      <c r="V78" s="414"/>
      <c r="W78" s="415"/>
      <c r="X78" s="312">
        <v>5</v>
      </c>
      <c r="Y78" s="313"/>
      <c r="Z78" s="313"/>
      <c r="AA78" s="313"/>
      <c r="AB78" s="314"/>
      <c r="AC78" s="387"/>
      <c r="AD78" s="388"/>
      <c r="AE78" s="417"/>
    </row>
    <row r="79" spans="1:37" ht="15" customHeight="1">
      <c r="A79" s="4"/>
      <c r="B79" s="17"/>
      <c r="C79" s="332"/>
      <c r="D79" s="342" t="str">
        <f>IF(C12="English","Solder",IF(C12="中文","焊料","はんだ"))</f>
        <v>Solder</v>
      </c>
      <c r="E79" s="343"/>
      <c r="F79" s="343"/>
      <c r="G79" s="343"/>
      <c r="H79" s="343"/>
      <c r="I79" s="343"/>
      <c r="J79" s="343"/>
      <c r="K79" s="343"/>
      <c r="L79" s="343"/>
      <c r="M79" s="343"/>
      <c r="N79" s="343"/>
      <c r="O79" s="343"/>
      <c r="P79" s="344"/>
      <c r="Q79" s="413"/>
      <c r="R79" s="414"/>
      <c r="S79" s="414"/>
      <c r="T79" s="414"/>
      <c r="U79" s="414"/>
      <c r="V79" s="414"/>
      <c r="W79" s="415"/>
      <c r="X79" s="345">
        <v>20</v>
      </c>
      <c r="Y79" s="346"/>
      <c r="Z79" s="346"/>
      <c r="AA79" s="346"/>
      <c r="AB79" s="347"/>
      <c r="AC79" s="387"/>
      <c r="AD79" s="388"/>
      <c r="AE79" s="417"/>
    </row>
    <row r="80" spans="1:37" ht="15" customHeight="1">
      <c r="C80" s="332"/>
      <c r="D80" s="348" t="str">
        <f>IF(C12="English","Other applications",IF(C12="中文","其他用途","その他の用途"))</f>
        <v>Other applications</v>
      </c>
      <c r="E80" s="349"/>
      <c r="F80" s="349"/>
      <c r="G80" s="349"/>
      <c r="H80" s="349"/>
      <c r="I80" s="349"/>
      <c r="J80" s="349"/>
      <c r="K80" s="349"/>
      <c r="L80" s="349"/>
      <c r="M80" s="349"/>
      <c r="N80" s="349"/>
      <c r="O80" s="349"/>
      <c r="P80" s="350"/>
      <c r="Q80" s="413"/>
      <c r="R80" s="414"/>
      <c r="S80" s="414"/>
      <c r="T80" s="414"/>
      <c r="U80" s="414"/>
      <c r="V80" s="414"/>
      <c r="W80" s="415"/>
      <c r="X80" s="421">
        <v>75</v>
      </c>
      <c r="Y80" s="422"/>
      <c r="Z80" s="422"/>
      <c r="AA80" s="422"/>
      <c r="AB80" s="423"/>
      <c r="AC80" s="387"/>
      <c r="AD80" s="388"/>
      <c r="AE80" s="417"/>
    </row>
    <row r="81" spans="1:31" ht="30" customHeight="1">
      <c r="C81" s="250"/>
      <c r="D81" s="348" t="str">
        <f>IF(C12="English","Battery",IF(C12="中文","电池","電池"))</f>
        <v>Battery</v>
      </c>
      <c r="E81" s="349"/>
      <c r="F81" s="349"/>
      <c r="G81" s="349"/>
      <c r="H81" s="349"/>
      <c r="I81" s="349"/>
      <c r="J81" s="349"/>
      <c r="K81" s="349"/>
      <c r="L81" s="349"/>
      <c r="M81" s="349"/>
      <c r="N81" s="349"/>
      <c r="O81" s="349"/>
      <c r="P81" s="350"/>
      <c r="Q81" s="413"/>
      <c r="R81" s="414"/>
      <c r="S81" s="414"/>
      <c r="T81" s="414"/>
      <c r="U81" s="414"/>
      <c r="V81" s="414"/>
      <c r="W81" s="415"/>
      <c r="X81" s="333" t="str">
        <f>IF(C12="English","20 with Battery as a denominator",IF(C12="中文"," 20 电池作为分母","電池を分母として20"))</f>
        <v>20 with Battery as a denominator</v>
      </c>
      <c r="Y81" s="334"/>
      <c r="Z81" s="334"/>
      <c r="AA81" s="334"/>
      <c r="AB81" s="335"/>
      <c r="AC81" s="418"/>
      <c r="AD81" s="419"/>
      <c r="AE81" s="420"/>
    </row>
    <row r="82" spans="1:31" ht="15" customHeight="1">
      <c r="A82" s="15"/>
      <c r="B82" s="3"/>
      <c r="C82" s="248">
        <v>2</v>
      </c>
      <c r="D82" s="287" t="str">
        <f>IF(C12="English","Lead and its compounds",IF(C12="中文","铅及其化合物","鉛およびその化合物"))</f>
        <v>Lead and its compounds</v>
      </c>
      <c r="E82" s="288"/>
      <c r="F82" s="288"/>
      <c r="G82" s="288"/>
      <c r="H82" s="288"/>
      <c r="I82" s="288"/>
      <c r="J82" s="288"/>
      <c r="K82" s="288"/>
      <c r="L82" s="288"/>
      <c r="M82" s="288"/>
      <c r="N82" s="288"/>
      <c r="O82" s="288"/>
      <c r="P82" s="289"/>
      <c r="Q82" s="413"/>
      <c r="R82" s="414"/>
      <c r="S82" s="414"/>
      <c r="T82" s="414"/>
      <c r="U82" s="414"/>
      <c r="V82" s="414"/>
      <c r="W82" s="415"/>
      <c r="X82" s="284"/>
      <c r="Y82" s="285"/>
      <c r="Z82" s="285"/>
      <c r="AA82" s="285"/>
      <c r="AB82" s="286"/>
      <c r="AC82" s="251"/>
      <c r="AD82" s="252"/>
      <c r="AE82" s="253"/>
    </row>
    <row r="83" spans="1:31" ht="15" customHeight="1">
      <c r="B83" s="3"/>
      <c r="C83" s="332"/>
      <c r="D83" s="339" t="str">
        <f>IF(C12="English","Plastic, ink, grease, adhesives, etc.",IF(C12="中文","树脂,油墨,润滑油脂,胶合剂等","プラスチック,インキ,グリス,接着剤など"))</f>
        <v>Plastic, ink, grease, adhesives, etc.</v>
      </c>
      <c r="E83" s="340"/>
      <c r="F83" s="340"/>
      <c r="G83" s="340"/>
      <c r="H83" s="340"/>
      <c r="I83" s="340"/>
      <c r="J83" s="340"/>
      <c r="K83" s="340"/>
      <c r="L83" s="340"/>
      <c r="M83" s="340"/>
      <c r="N83" s="340"/>
      <c r="O83" s="340"/>
      <c r="P83" s="341"/>
      <c r="Q83" s="413"/>
      <c r="R83" s="414"/>
      <c r="S83" s="414"/>
      <c r="T83" s="414"/>
      <c r="U83" s="414"/>
      <c r="V83" s="414"/>
      <c r="W83" s="415"/>
      <c r="X83" s="312">
        <v>100</v>
      </c>
      <c r="Y83" s="313"/>
      <c r="Z83" s="313"/>
      <c r="AA83" s="313"/>
      <c r="AB83" s="314"/>
      <c r="AC83" s="387"/>
      <c r="AD83" s="388"/>
      <c r="AE83" s="389"/>
    </row>
    <row r="84" spans="1:31" ht="15" customHeight="1">
      <c r="C84" s="332"/>
      <c r="D84" s="342" t="str">
        <f>IF(C12="English","Lead-free solder",IF(C12="中文","无铅焊料","鉛ﾌﾘｰはんだ"))</f>
        <v>Lead-free solder</v>
      </c>
      <c r="E84" s="343"/>
      <c r="F84" s="343"/>
      <c r="G84" s="343"/>
      <c r="H84" s="343"/>
      <c r="I84" s="343"/>
      <c r="J84" s="343"/>
      <c r="K84" s="343"/>
      <c r="L84" s="343"/>
      <c r="M84" s="343"/>
      <c r="N84" s="343"/>
      <c r="O84" s="343"/>
      <c r="P84" s="344"/>
      <c r="Q84" s="413"/>
      <c r="R84" s="414"/>
      <c r="S84" s="414"/>
      <c r="T84" s="414"/>
      <c r="U84" s="414"/>
      <c r="V84" s="414"/>
      <c r="W84" s="415"/>
      <c r="X84" s="345">
        <v>500</v>
      </c>
      <c r="Y84" s="346"/>
      <c r="Z84" s="346"/>
      <c r="AA84" s="346"/>
      <c r="AB84" s="347"/>
      <c r="AC84" s="387"/>
      <c r="AD84" s="388"/>
      <c r="AE84" s="389"/>
    </row>
    <row r="85" spans="1:31" ht="15" customHeight="1">
      <c r="C85" s="308"/>
      <c r="D85" s="348" t="str">
        <f>IF(C12="English","Other applications",IF(C12="中文","其他用途","その他の用途"))</f>
        <v>Other applications</v>
      </c>
      <c r="E85" s="349"/>
      <c r="F85" s="349"/>
      <c r="G85" s="349"/>
      <c r="H85" s="349"/>
      <c r="I85" s="349"/>
      <c r="J85" s="349"/>
      <c r="K85" s="349"/>
      <c r="L85" s="349"/>
      <c r="M85" s="349"/>
      <c r="N85" s="349"/>
      <c r="O85" s="349"/>
      <c r="P85" s="350"/>
      <c r="Q85" s="413"/>
      <c r="R85" s="414"/>
      <c r="S85" s="414"/>
      <c r="T85" s="414"/>
      <c r="U85" s="414"/>
      <c r="V85" s="414"/>
      <c r="W85" s="415"/>
      <c r="X85" s="318">
        <v>1000</v>
      </c>
      <c r="Y85" s="319"/>
      <c r="Z85" s="319"/>
      <c r="AA85" s="319"/>
      <c r="AB85" s="320"/>
      <c r="AC85" s="390"/>
      <c r="AD85" s="391"/>
      <c r="AE85" s="392"/>
    </row>
    <row r="86" spans="1:31" ht="15" customHeight="1">
      <c r="C86" s="203">
        <v>3</v>
      </c>
      <c r="D86" s="287" t="str">
        <f>IF(C12="English","Hexavalent chromium compounds",IF(C12="中文","六价铬化合物","六価クロム化合物"))</f>
        <v>Hexavalent chromium compounds</v>
      </c>
      <c r="E86" s="288"/>
      <c r="F86" s="288"/>
      <c r="G86" s="288"/>
      <c r="H86" s="288"/>
      <c r="I86" s="288"/>
      <c r="J86" s="288"/>
      <c r="K86" s="288"/>
      <c r="L86" s="288"/>
      <c r="M86" s="288"/>
      <c r="N86" s="288"/>
      <c r="O86" s="288"/>
      <c r="P86" s="289"/>
      <c r="Q86" s="413"/>
      <c r="R86" s="414"/>
      <c r="S86" s="414"/>
      <c r="T86" s="414"/>
      <c r="U86" s="414"/>
      <c r="V86" s="414"/>
      <c r="W86" s="415"/>
      <c r="X86" s="336">
        <v>1000</v>
      </c>
      <c r="Y86" s="337"/>
      <c r="Z86" s="337"/>
      <c r="AA86" s="337"/>
      <c r="AB86" s="338"/>
      <c r="AC86" s="245"/>
      <c r="AD86" s="246"/>
      <c r="AE86" s="247"/>
    </row>
    <row r="87" spans="1:31" ht="15" customHeight="1">
      <c r="C87" s="248">
        <v>4</v>
      </c>
      <c r="D87" s="287" t="str">
        <f>IF(C12="English","Mercury and its compounds",IF(C12="中文","汞及其化合物","水銀およびその化合物"))</f>
        <v>Mercury and its compounds</v>
      </c>
      <c r="E87" s="288"/>
      <c r="F87" s="288"/>
      <c r="G87" s="288"/>
      <c r="H87" s="288"/>
      <c r="I87" s="288"/>
      <c r="J87" s="288"/>
      <c r="K87" s="288"/>
      <c r="L87" s="288"/>
      <c r="M87" s="288"/>
      <c r="N87" s="288"/>
      <c r="O87" s="288"/>
      <c r="P87" s="289"/>
      <c r="Q87" s="413"/>
      <c r="R87" s="414"/>
      <c r="S87" s="414"/>
      <c r="T87" s="414"/>
      <c r="U87" s="414"/>
      <c r="V87" s="414"/>
      <c r="W87" s="415"/>
      <c r="X87" s="284"/>
      <c r="Y87" s="285"/>
      <c r="Z87" s="285"/>
      <c r="AA87" s="285"/>
      <c r="AB87" s="286"/>
      <c r="AC87" s="251"/>
      <c r="AD87" s="424"/>
      <c r="AE87" s="425"/>
    </row>
    <row r="88" spans="1:31" ht="30" customHeight="1">
      <c r="C88" s="249"/>
      <c r="D88" s="348" t="str">
        <f>IF(C12="English","All uses for not batteries",IF(C12="中文","电池以外所有用途","電池を除く、全ての用途"))</f>
        <v>All uses for not batteries</v>
      </c>
      <c r="E88" s="349"/>
      <c r="F88" s="349"/>
      <c r="G88" s="349"/>
      <c r="H88" s="349"/>
      <c r="I88" s="349"/>
      <c r="J88" s="349"/>
      <c r="K88" s="349"/>
      <c r="L88" s="349"/>
      <c r="M88" s="349"/>
      <c r="N88" s="349"/>
      <c r="O88" s="349"/>
      <c r="P88" s="350"/>
      <c r="Q88" s="413"/>
      <c r="R88" s="414"/>
      <c r="S88" s="414"/>
      <c r="T88" s="414"/>
      <c r="U88" s="414"/>
      <c r="V88" s="414"/>
      <c r="W88" s="415"/>
      <c r="X88" s="318" t="str">
        <f>IF(C12="English","Intentionally added or 1,000",IF(C12="中文","禁止有意添加
且　1,000","意図的添加禁止
且つ 1,000"))</f>
        <v>Intentionally added or 1,000</v>
      </c>
      <c r="Y88" s="319"/>
      <c r="Z88" s="319"/>
      <c r="AA88" s="319"/>
      <c r="AB88" s="320"/>
      <c r="AC88" s="426"/>
      <c r="AD88" s="427"/>
      <c r="AE88" s="428"/>
    </row>
    <row r="89" spans="1:31" ht="30" customHeight="1">
      <c r="C89" s="250"/>
      <c r="D89" s="348" t="str">
        <f>IF(C12="English","Other applications",IF(C12="中文","电池","電池"))</f>
        <v>Other applications</v>
      </c>
      <c r="E89" s="349"/>
      <c r="F89" s="349"/>
      <c r="G89" s="349"/>
      <c r="H89" s="349"/>
      <c r="I89" s="349"/>
      <c r="J89" s="349"/>
      <c r="K89" s="349"/>
      <c r="L89" s="349"/>
      <c r="M89" s="349"/>
      <c r="N89" s="349"/>
      <c r="O89" s="349"/>
      <c r="P89" s="350"/>
      <c r="Q89" s="413"/>
      <c r="R89" s="414"/>
      <c r="S89" s="414"/>
      <c r="T89" s="414"/>
      <c r="U89" s="414"/>
      <c r="V89" s="414"/>
      <c r="W89" s="415"/>
      <c r="X89" s="351" t="str">
        <f>IF(C12="English","5 with Battery as a denominator",IF(C12="中文"," 5 电池作为分母","電池を分母として5"))</f>
        <v>5 with Battery as a denominator</v>
      </c>
      <c r="Y89" s="352"/>
      <c r="Z89" s="352"/>
      <c r="AA89" s="352"/>
      <c r="AB89" s="353"/>
      <c r="AC89" s="426"/>
      <c r="AD89" s="427"/>
      <c r="AE89" s="428"/>
    </row>
    <row r="90" spans="1:31" ht="15" customHeight="1">
      <c r="C90" s="203">
        <v>5</v>
      </c>
      <c r="D90" s="287" t="str">
        <f>IF(C12="English","Polybrominated  biphenyls (PBB)",IF(C12="中文","PBB；聚溴联苯","PBB；ポリ臭化ビフェニル"))</f>
        <v>Polybrominated  biphenyls (PBB)</v>
      </c>
      <c r="E90" s="288"/>
      <c r="F90" s="288"/>
      <c r="G90" s="288"/>
      <c r="H90" s="288"/>
      <c r="I90" s="288"/>
      <c r="J90" s="288"/>
      <c r="K90" s="288"/>
      <c r="L90" s="288"/>
      <c r="M90" s="288"/>
      <c r="N90" s="288"/>
      <c r="O90" s="288"/>
      <c r="P90" s="289"/>
      <c r="Q90" s="363" t="str">
        <f>IF(C12="English","All uses",IF(C12="中文","所有用途","全ての用途"))</f>
        <v>All uses</v>
      </c>
      <c r="R90" s="364"/>
      <c r="S90" s="364"/>
      <c r="T90" s="364"/>
      <c r="U90" s="364"/>
      <c r="V90" s="364"/>
      <c r="W90" s="365"/>
      <c r="X90" s="336">
        <v>1000</v>
      </c>
      <c r="Y90" s="337"/>
      <c r="Z90" s="337"/>
      <c r="AA90" s="337"/>
      <c r="AB90" s="338"/>
      <c r="AC90" s="245"/>
      <c r="AD90" s="246"/>
      <c r="AE90" s="247"/>
    </row>
    <row r="91" spans="1:31" ht="30" customHeight="1">
      <c r="C91" s="305">
        <v>6</v>
      </c>
      <c r="D91" s="263" t="str">
        <f>IF(C12="English","Polybrominated diphenyl ethers (PBDE)  (Including Deca-BDE: Decabromojiphenyl ether CAS RN 1163-19-5)",IF(C12="中文","PBDE；聚溴联苯醚 (包括DBDE (十溴联苯醚) CAS RN 1163-19-5)","PBDE；ポリ臭化ジフェニルエーテル (Deca-BDE：デカブロモジフェニルエーテル CAS RN 1163-19-5を含む)"))</f>
        <v>Polybrominated diphenyl ethers (PBDE)  (Including Deca-BDE: Decabromojiphenyl ether CAS RN 1163-19-5)</v>
      </c>
      <c r="E91" s="264"/>
      <c r="F91" s="264"/>
      <c r="G91" s="264"/>
      <c r="H91" s="264"/>
      <c r="I91" s="264"/>
      <c r="J91" s="264"/>
      <c r="K91" s="264"/>
      <c r="L91" s="264"/>
      <c r="M91" s="264"/>
      <c r="N91" s="264"/>
      <c r="O91" s="264"/>
      <c r="P91" s="265"/>
      <c r="Q91" s="290" t="str">
        <f>IF(C12="English","Uses for electrical and electronic equipment",IF(C12="中文","电气电子机器用途","電気電子機器用途"))</f>
        <v>Uses for electrical and electronic equipment</v>
      </c>
      <c r="R91" s="404"/>
      <c r="S91" s="404"/>
      <c r="T91" s="404"/>
      <c r="U91" s="404"/>
      <c r="V91" s="404"/>
      <c r="W91" s="405"/>
      <c r="X91" s="336" t="str">
        <f>IF(C12="English","Intentionally added or 1,000",IF(C12="中文","禁止有意添加
且限制值为1,000","意図的添加禁止
且つ 1,000"))</f>
        <v>Intentionally added or 1,000</v>
      </c>
      <c r="Y91" s="337"/>
      <c r="Z91" s="337"/>
      <c r="AA91" s="337"/>
      <c r="AB91" s="338"/>
      <c r="AC91" s="251"/>
      <c r="AD91" s="252"/>
      <c r="AE91" s="253"/>
    </row>
    <row r="92" spans="1:31" ht="30" customHeight="1">
      <c r="C92" s="306"/>
      <c r="D92" s="269"/>
      <c r="E92" s="270"/>
      <c r="F92" s="270"/>
      <c r="G92" s="270"/>
      <c r="H92" s="270"/>
      <c r="I92" s="270"/>
      <c r="J92" s="270"/>
      <c r="K92" s="270"/>
      <c r="L92" s="270"/>
      <c r="M92" s="270"/>
      <c r="N92" s="270"/>
      <c r="O92" s="270"/>
      <c r="P92" s="271"/>
      <c r="Q92" s="278" t="str">
        <f>IF(C12="English","Uses for not electrical and electronic equipment",IF(C12="中文","电气电子机器以外用途","電気電子機器以外の用途"))</f>
        <v>Uses for not electrical and electronic equipment</v>
      </c>
      <c r="R92" s="406"/>
      <c r="S92" s="406"/>
      <c r="T92" s="406"/>
      <c r="U92" s="406"/>
      <c r="V92" s="406"/>
      <c r="W92" s="407"/>
      <c r="X92" s="318" t="str">
        <f>IF(C12="English","Intentionally added or 500",IF(C12="中文","禁止有意添加
且限制值为500","意図的添加禁止
且つ 500"))</f>
        <v>Intentionally added or 500</v>
      </c>
      <c r="Y92" s="319"/>
      <c r="Z92" s="319"/>
      <c r="AA92" s="319"/>
      <c r="AB92" s="320"/>
      <c r="AC92" s="254"/>
      <c r="AD92" s="255"/>
      <c r="AE92" s="256"/>
    </row>
    <row r="93" spans="1:31" ht="15" customHeight="1">
      <c r="C93" s="396" t="s">
        <v>34</v>
      </c>
      <c r="D93" s="290" t="str">
        <f>IF(C12="English","Phthalate esters 4 substances below",IF(C12="中文","邻苯二甲酸酯 下述4种物质","フタル酸エステル　下記４物質"))</f>
        <v>Phthalate esters 4 substances below</v>
      </c>
      <c r="E93" s="291"/>
      <c r="F93" s="291"/>
      <c r="G93" s="291"/>
      <c r="H93" s="291"/>
      <c r="I93" s="291"/>
      <c r="J93" s="291"/>
      <c r="K93" s="291"/>
      <c r="L93" s="291"/>
      <c r="M93" s="291"/>
      <c r="N93" s="291"/>
      <c r="O93" s="291"/>
      <c r="P93" s="292"/>
      <c r="Q93" s="369"/>
      <c r="R93" s="370"/>
      <c r="S93" s="370"/>
      <c r="T93" s="370"/>
      <c r="U93" s="370"/>
      <c r="V93" s="370"/>
      <c r="W93" s="371"/>
      <c r="X93" s="336"/>
      <c r="Y93" s="337"/>
      <c r="Z93" s="337"/>
      <c r="AA93" s="337"/>
      <c r="AB93" s="338"/>
      <c r="AC93" s="372"/>
      <c r="AD93" s="373"/>
      <c r="AE93" s="374"/>
    </row>
    <row r="94" spans="1:31" ht="30" customHeight="1">
      <c r="C94" s="397"/>
      <c r="D94" s="339" t="str">
        <f>IF(C12="English","Bis(2-ethylhexyl) phthalate（DEHP）
(Another name : DOP) (CAS RN 117-81-7)",IF(C12="中文","邻苯二甲酸二（2-乙基己基）酯（DEHP)　 
别称 : DOP(CAS RN 117-81-7)","フタル酸ビス（2-エチルヘキシル）（DEHP）
別称：DOP(CAS RN 117-81-7) "))</f>
        <v>Bis(2-ethylhexyl) phthalate（DEHP）
(Another name : DOP) (CAS RN 117-81-7)</v>
      </c>
      <c r="E94" s="340"/>
      <c r="F94" s="340"/>
      <c r="G94" s="340"/>
      <c r="H94" s="340"/>
      <c r="I94" s="340"/>
      <c r="J94" s="340"/>
      <c r="K94" s="340"/>
      <c r="L94" s="340"/>
      <c r="M94" s="340"/>
      <c r="N94" s="340"/>
      <c r="O94" s="340"/>
      <c r="P94" s="341"/>
      <c r="Q94" s="263" t="str">
        <f>IF(C12="English","Uses for electrical and electronic equipment",IF(C12="中文","电气电子机器用途","電気電子機器用途"))</f>
        <v>Uses for electrical and electronic equipment</v>
      </c>
      <c r="R94" s="264"/>
      <c r="S94" s="264"/>
      <c r="T94" s="264"/>
      <c r="U94" s="264"/>
      <c r="V94" s="264"/>
      <c r="W94" s="265"/>
      <c r="X94" s="375" t="str">
        <f>IF(C12="English","Each : 1,000",IF(C12="中文","各 1,000","各 1,000"))</f>
        <v>Each : 1,000</v>
      </c>
      <c r="Y94" s="376"/>
      <c r="Z94" s="376"/>
      <c r="AA94" s="376"/>
      <c r="AB94" s="377"/>
      <c r="AC94" s="245"/>
      <c r="AD94" s="246"/>
      <c r="AE94" s="247"/>
    </row>
    <row r="95" spans="1:31" ht="30" customHeight="1">
      <c r="C95" s="397"/>
      <c r="D95" s="342" t="str">
        <f>IF(C12="English","Dibutyl phthalate（DBP）
(CAS RN 84-74-2)",IF(C12="中文","邻苯二甲酸二丁酯（DBP）
(CAS RN 84-74-2)","フタル酸ジブチル（DBP）
(CAS RN 84-74-2)"))</f>
        <v>Dibutyl phthalate（DBP）
(CAS RN 84-74-2)</v>
      </c>
      <c r="E95" s="343"/>
      <c r="F95" s="343"/>
      <c r="G95" s="343"/>
      <c r="H95" s="343"/>
      <c r="I95" s="343"/>
      <c r="J95" s="343"/>
      <c r="K95" s="343"/>
      <c r="L95" s="343"/>
      <c r="M95" s="343"/>
      <c r="N95" s="343"/>
      <c r="O95" s="343"/>
      <c r="P95" s="344"/>
      <c r="Q95" s="384"/>
      <c r="R95" s="385"/>
      <c r="S95" s="385"/>
      <c r="T95" s="385"/>
      <c r="U95" s="385"/>
      <c r="V95" s="385"/>
      <c r="W95" s="386"/>
      <c r="X95" s="378"/>
      <c r="Y95" s="379"/>
      <c r="Z95" s="379"/>
      <c r="AA95" s="379"/>
      <c r="AB95" s="380"/>
      <c r="AC95" s="245"/>
      <c r="AD95" s="246"/>
      <c r="AE95" s="247"/>
    </row>
    <row r="96" spans="1:31" ht="30" customHeight="1">
      <c r="C96" s="397"/>
      <c r="D96" s="342" t="str">
        <f>IF(C12="English","Benzyl butyl phthalate (BBP)
(CAS RN 85-68-7)",IF(C12="中文","邻苯二甲酸丁苄酯（BBP）
(CAS RN 85-68-7)","フタル酸ブチルベンジル(BBP)
(CAS RN 85-68-7)"))</f>
        <v>Benzyl butyl phthalate (BBP)
(CAS RN 85-68-7)</v>
      </c>
      <c r="E96" s="343"/>
      <c r="F96" s="343"/>
      <c r="G96" s="343"/>
      <c r="H96" s="343"/>
      <c r="I96" s="343"/>
      <c r="J96" s="343"/>
      <c r="K96" s="343"/>
      <c r="L96" s="343"/>
      <c r="M96" s="343"/>
      <c r="N96" s="343"/>
      <c r="O96" s="343"/>
      <c r="P96" s="344"/>
      <c r="Q96" s="384"/>
      <c r="R96" s="385"/>
      <c r="S96" s="385"/>
      <c r="T96" s="385"/>
      <c r="U96" s="385"/>
      <c r="V96" s="385"/>
      <c r="W96" s="386"/>
      <c r="X96" s="378"/>
      <c r="Y96" s="379"/>
      <c r="Z96" s="379"/>
      <c r="AA96" s="379"/>
      <c r="AB96" s="380"/>
      <c r="AC96" s="245"/>
      <c r="AD96" s="246"/>
      <c r="AE96" s="247"/>
    </row>
    <row r="97" spans="2:37" ht="30" customHeight="1">
      <c r="C97" s="398"/>
      <c r="D97" s="348" t="str">
        <f>IF(C12="English","Diisobutyl phthalate (DIBP)
(CAS RN84-69-5)",IF(C12="中文","邻苯二甲酸二异丁酯（DIBP）
(CAS RN 84-69-5)","フタル酸ジイソブチル (DIBP)
(CAS RN 84-69-5)"))</f>
        <v>Diisobutyl phthalate (DIBP)
(CAS RN84-69-5)</v>
      </c>
      <c r="E97" s="349"/>
      <c r="F97" s="349"/>
      <c r="G97" s="349"/>
      <c r="H97" s="349"/>
      <c r="I97" s="349"/>
      <c r="J97" s="349"/>
      <c r="K97" s="349"/>
      <c r="L97" s="349"/>
      <c r="M97" s="349"/>
      <c r="N97" s="349"/>
      <c r="O97" s="349"/>
      <c r="P97" s="350"/>
      <c r="Q97" s="309"/>
      <c r="R97" s="310"/>
      <c r="S97" s="310"/>
      <c r="T97" s="310"/>
      <c r="U97" s="310"/>
      <c r="V97" s="310"/>
      <c r="W97" s="311"/>
      <c r="X97" s="381"/>
      <c r="Y97" s="382"/>
      <c r="Z97" s="382"/>
      <c r="AA97" s="382"/>
      <c r="AB97" s="383"/>
      <c r="AC97" s="245"/>
      <c r="AD97" s="246"/>
      <c r="AE97" s="247"/>
    </row>
    <row r="98" spans="2:37" ht="15" customHeight="1">
      <c r="C98" s="393" t="s">
        <v>0</v>
      </c>
      <c r="D98" s="290" t="str">
        <f>IF(C12="English","Phthalate esters 4 substances below",IF(C12="中文","邻苯二甲酸酯 下述4种物质","フタル酸エステル　下記４物質"))</f>
        <v>Phthalate esters 4 substances below</v>
      </c>
      <c r="E98" s="291"/>
      <c r="F98" s="291"/>
      <c r="G98" s="291"/>
      <c r="H98" s="291"/>
      <c r="I98" s="291"/>
      <c r="J98" s="291"/>
      <c r="K98" s="291"/>
      <c r="L98" s="291"/>
      <c r="M98" s="291"/>
      <c r="N98" s="291"/>
      <c r="O98" s="291"/>
      <c r="P98" s="292"/>
      <c r="Q98" s="369"/>
      <c r="R98" s="370"/>
      <c r="S98" s="370"/>
      <c r="T98" s="370"/>
      <c r="U98" s="370"/>
      <c r="V98" s="370"/>
      <c r="W98" s="371"/>
      <c r="X98" s="336"/>
      <c r="Y98" s="337"/>
      <c r="Z98" s="337"/>
      <c r="AA98" s="337"/>
      <c r="AB98" s="338"/>
      <c r="AC98" s="372"/>
      <c r="AD98" s="373"/>
      <c r="AE98" s="374"/>
    </row>
    <row r="99" spans="2:37" ht="30" customHeight="1">
      <c r="C99" s="394"/>
      <c r="D99" s="339" t="str">
        <f>IF(C12="English","Bis(2-ethylhexyl) phthalate（DEHP）
(Another name : DOP) (CAS RN 117-81-7)",IF(C12="中文","邻苯二甲酸二（2-乙基己基）酯（DEHP)　 
别称 : DOP(CAS RN 117-81-7)","フタル酸ビス（2-エチルヘキシル）（DEHP）
別称：DOP(CAS RN 117-81-7) "))</f>
        <v>Bis(2-ethylhexyl) phthalate（DEHP）
(Another name : DOP) (CAS RN 117-81-7)</v>
      </c>
      <c r="E99" s="340"/>
      <c r="F99" s="340"/>
      <c r="G99" s="340"/>
      <c r="H99" s="340"/>
      <c r="I99" s="340"/>
      <c r="J99" s="340"/>
      <c r="K99" s="340"/>
      <c r="L99" s="340"/>
      <c r="M99" s="340"/>
      <c r="N99" s="340"/>
      <c r="O99" s="340"/>
      <c r="P99" s="341"/>
      <c r="Q99" s="263" t="str">
        <f>IF(C12="English","Uses for not electrical and electronic equipment,
and for Toys or childcare products",IF(C12="中文","电气电子机器以外用途
和玩具、育儿制品用途","電気電子機器以外の用途および玩具、
育児製品用途"))</f>
        <v>Uses for not electrical and electronic equipment,
and for Toys or childcare products</v>
      </c>
      <c r="R99" s="264"/>
      <c r="S99" s="264"/>
      <c r="T99" s="264"/>
      <c r="U99" s="264"/>
      <c r="V99" s="264"/>
      <c r="W99" s="265"/>
      <c r="X99" s="375" t="str">
        <f>IF(C12="English","DEHP, DBP,
BBP, DIBP
Total of 4 
substances is less
than 1,000",IF(C12="中文","DEHP、DBP、
BBP、DIBP
4种物质总量：
1,000","DEHP、DBP、
BBP、DIBP
4物質の合計：
1,000"))</f>
        <v>DEHP, DBP,
BBP, DIBP
Total of 4 
substances is less
than 1,000</v>
      </c>
      <c r="Y99" s="376"/>
      <c r="Z99" s="376"/>
      <c r="AA99" s="376"/>
      <c r="AB99" s="377"/>
      <c r="AC99" s="251"/>
      <c r="AD99" s="252"/>
      <c r="AE99" s="253"/>
    </row>
    <row r="100" spans="2:37" ht="30" customHeight="1">
      <c r="C100" s="394"/>
      <c r="D100" s="342" t="str">
        <f>IF(C12="English","Dibutyl phthalate（DBP）
(CAS RN 84-74-2)",IF(C12="中文","邻苯二甲酸二丁酯（DBP）
(CAS RN 84-74-2)","フタル酸ジブチル（DBP）
(CAS RN 84-74-2)"))</f>
        <v>Dibutyl phthalate（DBP）
(CAS RN 84-74-2)</v>
      </c>
      <c r="E100" s="343"/>
      <c r="F100" s="343"/>
      <c r="G100" s="343"/>
      <c r="H100" s="343"/>
      <c r="I100" s="343"/>
      <c r="J100" s="343"/>
      <c r="K100" s="343"/>
      <c r="L100" s="343"/>
      <c r="M100" s="343"/>
      <c r="N100" s="343"/>
      <c r="O100" s="343"/>
      <c r="P100" s="344"/>
      <c r="Q100" s="384"/>
      <c r="R100" s="385"/>
      <c r="S100" s="385"/>
      <c r="T100" s="385"/>
      <c r="U100" s="385"/>
      <c r="V100" s="385"/>
      <c r="W100" s="386"/>
      <c r="X100" s="378"/>
      <c r="Y100" s="379"/>
      <c r="Z100" s="379"/>
      <c r="AA100" s="379"/>
      <c r="AB100" s="380"/>
      <c r="AC100" s="387"/>
      <c r="AD100" s="388"/>
      <c r="AE100" s="389"/>
    </row>
    <row r="101" spans="2:37" ht="30" customHeight="1">
      <c r="C101" s="394"/>
      <c r="D101" s="342" t="str">
        <f>IF(C12="English","Benzyl butyl phthalate (BBP)
(CAS RN 85-68-7)",IF(C12="中文","邻苯二甲酸丁苄酯（BBP）
(CAS RN 85-68-7)","フタル酸ブチルベンジル(BBP)
(CAS RN 85-68-7)"))</f>
        <v>Benzyl butyl phthalate (BBP)
(CAS RN 85-68-7)</v>
      </c>
      <c r="E101" s="343"/>
      <c r="F101" s="343"/>
      <c r="G101" s="343"/>
      <c r="H101" s="343"/>
      <c r="I101" s="343"/>
      <c r="J101" s="343"/>
      <c r="K101" s="343"/>
      <c r="L101" s="343"/>
      <c r="M101" s="343"/>
      <c r="N101" s="343"/>
      <c r="O101" s="343"/>
      <c r="P101" s="344"/>
      <c r="Q101" s="384"/>
      <c r="R101" s="385"/>
      <c r="S101" s="385"/>
      <c r="T101" s="385"/>
      <c r="U101" s="385"/>
      <c r="V101" s="385"/>
      <c r="W101" s="386"/>
      <c r="X101" s="378"/>
      <c r="Y101" s="379"/>
      <c r="Z101" s="379"/>
      <c r="AA101" s="379"/>
      <c r="AB101" s="380"/>
      <c r="AC101" s="387"/>
      <c r="AD101" s="388"/>
      <c r="AE101" s="389"/>
    </row>
    <row r="102" spans="2:37" ht="30" customHeight="1">
      <c r="C102" s="395"/>
      <c r="D102" s="348" t="str">
        <f>IF(C12="English","Diisobutyl phthalate (DIBP)
(CAS RN84-69-5)",IF(C12="中文","邻苯二甲酸二异丁酯（DIBP）
(CAS RN 84-69-5)","フタル酸ジイソブチル (DIBP)
(CAS RN 84-69-5)"))</f>
        <v>Diisobutyl phthalate (DIBP)
(CAS RN84-69-5)</v>
      </c>
      <c r="E102" s="349"/>
      <c r="F102" s="349"/>
      <c r="G102" s="349"/>
      <c r="H102" s="349"/>
      <c r="I102" s="349"/>
      <c r="J102" s="349"/>
      <c r="K102" s="349"/>
      <c r="L102" s="349"/>
      <c r="M102" s="349"/>
      <c r="N102" s="349"/>
      <c r="O102" s="349"/>
      <c r="P102" s="350"/>
      <c r="Q102" s="309"/>
      <c r="R102" s="310"/>
      <c r="S102" s="310"/>
      <c r="T102" s="310"/>
      <c r="U102" s="310"/>
      <c r="V102" s="310"/>
      <c r="W102" s="311"/>
      <c r="X102" s="381"/>
      <c r="Y102" s="382"/>
      <c r="Z102" s="382"/>
      <c r="AA102" s="382"/>
      <c r="AB102" s="383"/>
      <c r="AC102" s="390"/>
      <c r="AD102" s="391"/>
      <c r="AE102" s="392"/>
    </row>
    <row r="103" spans="2:37" ht="15" customHeight="1">
      <c r="C103" s="366">
        <v>8</v>
      </c>
      <c r="D103" s="290" t="str">
        <f>IF(C12="English","Phthalate esters 3 substances below",IF(C12="中文","邻苯二甲酸酯 下述3种物质","フタル酸エステル　下記3物質"))</f>
        <v>Phthalate esters 3 substances below</v>
      </c>
      <c r="E103" s="291"/>
      <c r="F103" s="291"/>
      <c r="G103" s="291"/>
      <c r="H103" s="291"/>
      <c r="I103" s="291"/>
      <c r="J103" s="291"/>
      <c r="K103" s="291"/>
      <c r="L103" s="291"/>
      <c r="M103" s="291"/>
      <c r="N103" s="291"/>
      <c r="O103" s="291"/>
      <c r="P103" s="292"/>
      <c r="Q103" s="369"/>
      <c r="R103" s="370"/>
      <c r="S103" s="370"/>
      <c r="T103" s="370"/>
      <c r="U103" s="370"/>
      <c r="V103" s="370"/>
      <c r="W103" s="371"/>
      <c r="X103" s="336"/>
      <c r="Y103" s="337"/>
      <c r="Z103" s="337"/>
      <c r="AA103" s="337"/>
      <c r="AB103" s="338"/>
      <c r="AC103" s="372"/>
      <c r="AD103" s="373"/>
      <c r="AE103" s="374"/>
    </row>
    <row r="104" spans="2:37" ht="35.1" customHeight="1">
      <c r="C104" s="367"/>
      <c r="D104" s="339" t="str">
        <f>IF(C12="English","Diisononyl phthalate（DINP）
(CAS RN 28553-12-0)  (CAS RN68515-48-0)",IF(C12="中文","邻苯二甲酸二异壬酯（DINP）
(CAS RN 28553-12-0)  (CAS RN68515-48-0)","フタル酸ジイソノニル（DINP）
(CAS RN 28553-12-0)  (CAS RN68515-48-0)"))</f>
        <v>Diisononyl phthalate（DINP）
(CAS RN 28553-12-0)  (CAS RN68515-48-0)</v>
      </c>
      <c r="E104" s="340"/>
      <c r="F104" s="340"/>
      <c r="G104" s="340"/>
      <c r="H104" s="340"/>
      <c r="I104" s="340"/>
      <c r="J104" s="340"/>
      <c r="K104" s="340"/>
      <c r="L104" s="340"/>
      <c r="M104" s="340"/>
      <c r="N104" s="340"/>
      <c r="O104" s="340"/>
      <c r="P104" s="341"/>
      <c r="Q104" s="263" t="str">
        <f>IF(C12="English","Toys or childcare products",IF(C12="中文","玩具、育儿制品用途","玩具、育児製品用途"))</f>
        <v>Toys or childcare products</v>
      </c>
      <c r="R104" s="264"/>
      <c r="S104" s="264"/>
      <c r="T104" s="264"/>
      <c r="U104" s="264"/>
      <c r="V104" s="264"/>
      <c r="W104" s="265"/>
      <c r="X104" s="375" t="str">
        <f>IF(C12="English","DINP, DIDP, 
DNOP
Total of 3
substances is less
than 1,000",IF(C12="中文","DINP、DIDP、
DNOP 
3种物质总量：
1,000","DINP、DIDP、
DNOP 
3物質の合計：
1,000"))</f>
        <v>DINP, DIDP, 
DNOP
Total of 3
substances is less
than 1,000</v>
      </c>
      <c r="Y104" s="376"/>
      <c r="Z104" s="376"/>
      <c r="AA104" s="376"/>
      <c r="AB104" s="377"/>
      <c r="AC104" s="251"/>
      <c r="AD104" s="252"/>
      <c r="AE104" s="253"/>
    </row>
    <row r="105" spans="2:37" ht="30" customHeight="1">
      <c r="C105" s="367"/>
      <c r="D105" s="342" t="str">
        <f>IF(C12="English","Diisodecyl phthalate（DIDP）
(CAS RN 26761-40-0)",IF(C12="中文","邻苯二甲酸二异癸酯（DIDP）
(CAS RN 26761-40-0)","フタル酸ジイソデシル（DIDP）
(CAS RN 26761-40-0)"))</f>
        <v>Diisodecyl phthalate（DIDP）
(CAS RN 26761-40-0)</v>
      </c>
      <c r="E105" s="343"/>
      <c r="F105" s="343"/>
      <c r="G105" s="343"/>
      <c r="H105" s="343"/>
      <c r="I105" s="343"/>
      <c r="J105" s="343"/>
      <c r="K105" s="343"/>
      <c r="L105" s="343"/>
      <c r="M105" s="343"/>
      <c r="N105" s="343"/>
      <c r="O105" s="343"/>
      <c r="P105" s="344"/>
      <c r="Q105" s="384"/>
      <c r="R105" s="385"/>
      <c r="S105" s="385"/>
      <c r="T105" s="385"/>
      <c r="U105" s="385"/>
      <c r="V105" s="385"/>
      <c r="W105" s="386"/>
      <c r="X105" s="378"/>
      <c r="Y105" s="379"/>
      <c r="Z105" s="379"/>
      <c r="AA105" s="379"/>
      <c r="AB105" s="380"/>
      <c r="AC105" s="387"/>
      <c r="AD105" s="388"/>
      <c r="AE105" s="389"/>
    </row>
    <row r="106" spans="2:37" ht="30" customHeight="1">
      <c r="C106" s="368"/>
      <c r="D106" s="348" t="str">
        <f>IF(C12="English","Di-n-octyl phthalate（DNOP）
(CAS RN 117-84-0)",IF(C12="中文","邻苯二甲酸二正辛酯（DNOP）
(CAS RN 117-84-0)","フタル酸ジ-ｎ-オクチル（DNOP）
(CAS RN 117-84-0)"))</f>
        <v>Di-n-octyl phthalate（DNOP）
(CAS RN 117-84-0)</v>
      </c>
      <c r="E106" s="349"/>
      <c r="F106" s="349"/>
      <c r="G106" s="349"/>
      <c r="H106" s="349"/>
      <c r="I106" s="349"/>
      <c r="J106" s="349"/>
      <c r="K106" s="349"/>
      <c r="L106" s="349"/>
      <c r="M106" s="349"/>
      <c r="N106" s="349"/>
      <c r="O106" s="349"/>
      <c r="P106" s="350"/>
      <c r="Q106" s="309"/>
      <c r="R106" s="310"/>
      <c r="S106" s="310"/>
      <c r="T106" s="310"/>
      <c r="U106" s="310"/>
      <c r="V106" s="310"/>
      <c r="W106" s="311"/>
      <c r="X106" s="381"/>
      <c r="Y106" s="382"/>
      <c r="Z106" s="382"/>
      <c r="AA106" s="382"/>
      <c r="AB106" s="383"/>
      <c r="AC106" s="390"/>
      <c r="AD106" s="391"/>
      <c r="AE106" s="392"/>
    </row>
    <row r="107" spans="2:37" ht="30" customHeight="1">
      <c r="C107" s="202">
        <v>9</v>
      </c>
      <c r="D107" s="287" t="str">
        <f>IF(C12="English","Polychlorinated biphenyls (PCB)",IF(C12="中文","PCB；多氯化联苯","PCB；ポリ塩化ビフェニル"))</f>
        <v>Polychlorinated biphenyls (PCB)</v>
      </c>
      <c r="E107" s="288"/>
      <c r="F107" s="288"/>
      <c r="G107" s="288"/>
      <c r="H107" s="288"/>
      <c r="I107" s="288"/>
      <c r="J107" s="288"/>
      <c r="K107" s="288"/>
      <c r="L107" s="288"/>
      <c r="M107" s="288"/>
      <c r="N107" s="288"/>
      <c r="O107" s="288"/>
      <c r="P107" s="289"/>
      <c r="Q107" s="281" t="str">
        <f>IF(C12="English","All uses",IF(C12="中文","所有用途","全ての用途"))</f>
        <v>All uses</v>
      </c>
      <c r="R107" s="282"/>
      <c r="S107" s="282"/>
      <c r="T107" s="282"/>
      <c r="U107" s="282"/>
      <c r="V107" s="282"/>
      <c r="W107" s="283"/>
      <c r="X107" s="284" t="str">
        <f>IF(C12="English","Intentionally added",IF(C12="中文","禁止有意添加","意図的添加禁止"))</f>
        <v>Intentionally added</v>
      </c>
      <c r="Y107" s="285"/>
      <c r="Z107" s="285"/>
      <c r="AA107" s="285"/>
      <c r="AB107" s="286"/>
      <c r="AC107" s="245"/>
      <c r="AD107" s="246"/>
      <c r="AE107" s="247"/>
    </row>
    <row r="108" spans="2:37" ht="15" customHeight="1">
      <c r="C108" s="204"/>
      <c r="D108" s="205"/>
      <c r="E108" s="205"/>
      <c r="F108" s="205"/>
      <c r="G108" s="205"/>
      <c r="H108" s="205"/>
      <c r="I108" s="205"/>
      <c r="J108" s="205"/>
      <c r="K108" s="205"/>
      <c r="L108" s="205"/>
      <c r="M108" s="205"/>
      <c r="N108" s="205"/>
      <c r="O108" s="205"/>
      <c r="P108" s="205"/>
      <c r="Q108" s="231"/>
      <c r="R108" s="231"/>
      <c r="S108" s="231"/>
      <c r="T108" s="231"/>
      <c r="U108" s="231"/>
      <c r="V108" s="231"/>
      <c r="W108" s="231"/>
      <c r="X108" s="228"/>
      <c r="Y108" s="230"/>
      <c r="Z108" s="230"/>
      <c r="AA108" s="230"/>
      <c r="AB108" s="230"/>
      <c r="AC108" s="206"/>
      <c r="AD108" s="206"/>
      <c r="AE108" s="207"/>
    </row>
    <row r="109" spans="2:37" ht="15" customHeight="1">
      <c r="C109" s="204"/>
      <c r="D109" s="205"/>
      <c r="E109" s="205"/>
      <c r="F109" s="205"/>
      <c r="G109" s="205"/>
      <c r="H109" s="205"/>
      <c r="I109" s="205"/>
      <c r="J109" s="205"/>
      <c r="K109" s="205"/>
      <c r="L109" s="205"/>
      <c r="M109" s="205"/>
      <c r="N109" s="205"/>
      <c r="O109" s="205"/>
      <c r="P109" s="205"/>
      <c r="Q109" s="231"/>
      <c r="R109" s="231"/>
      <c r="S109" s="231"/>
      <c r="T109" s="231"/>
      <c r="U109" s="231"/>
      <c r="V109" s="231"/>
      <c r="W109" s="231"/>
      <c r="X109" s="228"/>
      <c r="Y109" s="230"/>
      <c r="Z109" s="230"/>
      <c r="AA109" s="230"/>
      <c r="AB109" s="230"/>
      <c r="AC109" s="206"/>
      <c r="AD109" s="206"/>
      <c r="AE109" s="207"/>
    </row>
    <row r="110" spans="2:37" ht="13.5" customHeight="1">
      <c r="B110" s="30"/>
      <c r="C110" s="208"/>
      <c r="D110" s="209"/>
      <c r="E110" s="209"/>
      <c r="F110" s="209"/>
      <c r="G110" s="209"/>
      <c r="H110" s="209"/>
      <c r="I110" s="209"/>
      <c r="J110" s="209"/>
      <c r="K110" s="209"/>
      <c r="L110" s="209"/>
      <c r="M110" s="209"/>
      <c r="N110" s="209"/>
      <c r="O110" s="209"/>
      <c r="P110" s="209"/>
      <c r="Q110" s="231"/>
      <c r="R110" s="231"/>
      <c r="S110" s="231"/>
      <c r="T110" s="231"/>
      <c r="U110" s="233"/>
      <c r="V110" s="233"/>
      <c r="W110" s="233"/>
      <c r="X110" s="232"/>
      <c r="Y110" s="232"/>
      <c r="Z110" s="210"/>
      <c r="AA110" s="232"/>
      <c r="AB110" s="232"/>
      <c r="AC110" s="211"/>
      <c r="AD110" s="211"/>
      <c r="AE110" s="211"/>
      <c r="AH110" s="3"/>
      <c r="AI110" s="3"/>
      <c r="AJ110" s="3"/>
      <c r="AK110" s="3"/>
    </row>
    <row r="111" spans="2:37" ht="40.049999999999997" customHeight="1">
      <c r="C111" s="202">
        <v>10</v>
      </c>
      <c r="D111" s="287" t="str">
        <f>IF(C12="English","Polychlorinated naphthalenes (PCN)
(1 or more chlorine atoms)",IF(C12="中文","PCN；聚氯化萘
(氯数 1以上)","PCN；ポリ塩化ナフタレン
(塩素数 1以上)"))</f>
        <v>Polychlorinated naphthalenes (PCN)
(1 or more chlorine atoms)</v>
      </c>
      <c r="E111" s="288"/>
      <c r="F111" s="288"/>
      <c r="G111" s="288"/>
      <c r="H111" s="288"/>
      <c r="I111" s="288"/>
      <c r="J111" s="288"/>
      <c r="K111" s="288"/>
      <c r="L111" s="288"/>
      <c r="M111" s="288"/>
      <c r="N111" s="288"/>
      <c r="O111" s="288"/>
      <c r="P111" s="289"/>
      <c r="Q111" s="281" t="str">
        <f>IF(C12="English","All uses",IF(C12="中文","所有用途","全ての用途"))</f>
        <v>All uses</v>
      </c>
      <c r="R111" s="282"/>
      <c r="S111" s="282"/>
      <c r="T111" s="282"/>
      <c r="U111" s="282"/>
      <c r="V111" s="282"/>
      <c r="W111" s="283"/>
      <c r="X111" s="284" t="str">
        <f>IF(C12="English","Intentionally added",IF(C12="中文","禁止有意添加
","意図的添加禁止"))</f>
        <v>Intentionally added</v>
      </c>
      <c r="Y111" s="285"/>
      <c r="Z111" s="285"/>
      <c r="AA111" s="285"/>
      <c r="AB111" s="286"/>
      <c r="AC111" s="245"/>
      <c r="AD111" s="246"/>
      <c r="AE111" s="247"/>
    </row>
    <row r="112" spans="2:37" ht="40.049999999999997" customHeight="1">
      <c r="C112" s="202">
        <v>11</v>
      </c>
      <c r="D112" s="287" t="str">
        <f>IF(C12="English","Polychlorinated terphenyls (PCT)",IF(C12="中文","PCT；聚氯三联苯","PCT；ポリ塩化ターフェニル"))</f>
        <v>Polychlorinated terphenyls (PCT)</v>
      </c>
      <c r="E112" s="288"/>
      <c r="F112" s="288"/>
      <c r="G112" s="288"/>
      <c r="H112" s="288"/>
      <c r="I112" s="288"/>
      <c r="J112" s="288"/>
      <c r="K112" s="288"/>
      <c r="L112" s="288"/>
      <c r="M112" s="288"/>
      <c r="N112" s="288"/>
      <c r="O112" s="288"/>
      <c r="P112" s="289"/>
      <c r="Q112" s="281" t="str">
        <f>IF(C12="English","All uses",IF(C12="中文","所有用途","全ての用途"))</f>
        <v>All uses</v>
      </c>
      <c r="R112" s="282"/>
      <c r="S112" s="282"/>
      <c r="T112" s="282"/>
      <c r="U112" s="282"/>
      <c r="V112" s="282"/>
      <c r="W112" s="283"/>
      <c r="X112" s="284" t="str">
        <f>IF(C12="English","Intentionally added or 50",IF(C12="中文","禁止有意添加
且　50","意図的添加禁止
且つ 50"))</f>
        <v>Intentionally added or 50</v>
      </c>
      <c r="Y112" s="285"/>
      <c r="Z112" s="285"/>
      <c r="AA112" s="285"/>
      <c r="AB112" s="286"/>
      <c r="AC112" s="245"/>
      <c r="AD112" s="246"/>
      <c r="AE112" s="247"/>
    </row>
    <row r="113" spans="3:31" ht="30" customHeight="1">
      <c r="C113" s="202">
        <v>12</v>
      </c>
      <c r="D113" s="287" t="str">
        <f>IF(C12="English","Asbestos",IF(C12="中文","石棉类","アスベスト類"))</f>
        <v>Asbestos</v>
      </c>
      <c r="E113" s="288"/>
      <c r="F113" s="288"/>
      <c r="G113" s="288"/>
      <c r="H113" s="288"/>
      <c r="I113" s="288"/>
      <c r="J113" s="288"/>
      <c r="K113" s="288"/>
      <c r="L113" s="288"/>
      <c r="M113" s="288"/>
      <c r="N113" s="288"/>
      <c r="O113" s="288"/>
      <c r="P113" s="289"/>
      <c r="Q113" s="281" t="str">
        <f>IF(C12="English","All uses",IF(C12="中文","所有用途","全ての用途"))</f>
        <v>All uses</v>
      </c>
      <c r="R113" s="282"/>
      <c r="S113" s="282"/>
      <c r="T113" s="282"/>
      <c r="U113" s="282"/>
      <c r="V113" s="282"/>
      <c r="W113" s="283"/>
      <c r="X113" s="284" t="str">
        <f>IF(C12="English","Intentionally 
added",IF(C12="中文","禁止有意添加","意図的添加禁止"))</f>
        <v>Intentionally 
added</v>
      </c>
      <c r="Y113" s="285"/>
      <c r="Z113" s="285"/>
      <c r="AA113" s="285"/>
      <c r="AB113" s="286"/>
      <c r="AC113" s="245"/>
      <c r="AD113" s="246"/>
      <c r="AE113" s="247"/>
    </row>
    <row r="114" spans="3:31" ht="50.1" customHeight="1">
      <c r="C114" s="202">
        <v>13</v>
      </c>
      <c r="D114" s="287" t="str">
        <f>IF(C12="English","Short-chain chlorinated paraffin
(carbon number 10-13)（CASRN85535-84-8）",IF(C12="中文","短链氯化石蜡(碳数10-13)
(CAS RN85535-84-8）","短鎖塩素化パラフィン(炭素数10-13)
(CAS RN85535-84-8）"))</f>
        <v>Short-chain chlorinated paraffin
(carbon number 10-13)（CASRN85535-84-8）</v>
      </c>
      <c r="E114" s="288"/>
      <c r="F114" s="288"/>
      <c r="G114" s="288"/>
      <c r="H114" s="288"/>
      <c r="I114" s="288"/>
      <c r="J114" s="288"/>
      <c r="K114" s="288"/>
      <c r="L114" s="288"/>
      <c r="M114" s="288"/>
      <c r="N114" s="288"/>
      <c r="O114" s="288"/>
      <c r="P114" s="289"/>
      <c r="Q114" s="281" t="str">
        <f>IF(C12="English","All uses",IF(C12="中文","所有用途","全ての用途"))</f>
        <v>All uses</v>
      </c>
      <c r="R114" s="282"/>
      <c r="S114" s="282"/>
      <c r="T114" s="282"/>
      <c r="U114" s="282"/>
      <c r="V114" s="282"/>
      <c r="W114" s="283"/>
      <c r="X114" s="284" t="str">
        <f>IF(C12="English","Intentionally added or 1,000",IF(C12="中文","禁止有意添加
且　1,000","意図的添加禁止
且つ 1,000"))</f>
        <v>Intentionally added or 1,000</v>
      </c>
      <c r="Y114" s="285"/>
      <c r="Z114" s="285"/>
      <c r="AA114" s="285"/>
      <c r="AB114" s="286"/>
      <c r="AC114" s="245"/>
      <c r="AD114" s="246"/>
      <c r="AE114" s="247"/>
    </row>
    <row r="115" spans="3:31" ht="120" customHeight="1">
      <c r="C115" s="212">
        <v>14</v>
      </c>
      <c r="D115" s="287" t="str">
        <f>IF(C12="English","Ozone Depleting Substances
* Montreal Protocol on Substances that Deplete the Ozone Layer
Appendix A (Group I, II)
Appendix B (Group I, II, III)
Appendix C (Group I, II, III)
Appendix E (Group I)",IF(C12="中文","臭氧层消耗物质   *蒙特利尔协议
附属文件A（类别Ⅰ, Ⅱ）
附属文件B（类别Ⅰ, Ⅱ, Ⅲ）
附属文件C（类别Ⅰ, Ⅱ, Ⅲ）
附属文件E（类别Ⅰ）
","オゾン層破壊物質
*モントリオール議定書
附属書A（グループⅠ、Ⅱ）
附属書B（グループⅠ、Ⅱ、Ⅲ）
附属書C（グループⅠ、Ⅱ、Ⅲ）
附属書E（グループⅠ）"))</f>
        <v>Ozone Depleting Substances
* Montreal Protocol on Substances that Deplete the Ozone Layer
Appendix A (Group I, II)
Appendix B (Group I, II, III)
Appendix C (Group I, II, III)
Appendix E (Group I)</v>
      </c>
      <c r="E115" s="288"/>
      <c r="F115" s="288"/>
      <c r="G115" s="288"/>
      <c r="H115" s="288"/>
      <c r="I115" s="288"/>
      <c r="J115" s="288"/>
      <c r="K115" s="288"/>
      <c r="L115" s="288"/>
      <c r="M115" s="288"/>
      <c r="N115" s="288"/>
      <c r="O115" s="288"/>
      <c r="P115" s="289"/>
      <c r="Q115" s="281" t="str">
        <f>IF(C12="English","All uses",IF(C12="中文","所有用途","全ての用途"))</f>
        <v>All uses</v>
      </c>
      <c r="R115" s="282"/>
      <c r="S115" s="282"/>
      <c r="T115" s="282"/>
      <c r="U115" s="282"/>
      <c r="V115" s="282"/>
      <c r="W115" s="283"/>
      <c r="X115" s="284" t="str">
        <f>IF(C12="English","Intentionally 
added",IF(C12="中文","禁止有意添加","意図的添加禁止"))</f>
        <v>Intentionally 
added</v>
      </c>
      <c r="Y115" s="285"/>
      <c r="Z115" s="285"/>
      <c r="AA115" s="285"/>
      <c r="AB115" s="286"/>
      <c r="AC115" s="245"/>
      <c r="AD115" s="246"/>
      <c r="AE115" s="247"/>
    </row>
    <row r="116" spans="3:31" ht="30" customHeight="1">
      <c r="C116" s="213">
        <v>15</v>
      </c>
      <c r="D116" s="354" t="str">
        <f>IF(C12="English","Hydrofluorocarbon (HFC), Perfluoro carbon (PFC), Sulfur hexafluoride(SF6)",IF(C12="中文","氢氟烃（HFC)、全氟碳(PFC)、六氟化硫（SF6）","ハイドロフルオロカーボン（HFC)、パーフルオロカーボン(PFC)、六フッ化硫黄（SF6）"))</f>
        <v>Hydrofluorocarbon (HFC), Perfluoro carbon (PFC), Sulfur hexafluoride(SF6)</v>
      </c>
      <c r="E116" s="355"/>
      <c r="F116" s="355"/>
      <c r="G116" s="355"/>
      <c r="H116" s="355"/>
      <c r="I116" s="355"/>
      <c r="J116" s="355"/>
      <c r="K116" s="355"/>
      <c r="L116" s="355"/>
      <c r="M116" s="355"/>
      <c r="N116" s="355"/>
      <c r="O116" s="355"/>
      <c r="P116" s="356"/>
      <c r="Q116" s="281" t="str">
        <f>IF(C12="English","All uses",IF(C12="中文","所有用途","全ての用途"))</f>
        <v>All uses</v>
      </c>
      <c r="R116" s="282"/>
      <c r="S116" s="282"/>
      <c r="T116" s="282"/>
      <c r="U116" s="282"/>
      <c r="V116" s="282"/>
      <c r="W116" s="283"/>
      <c r="X116" s="284" t="str">
        <f>IF(C12="English","Intentionally 
added",IF(C12="中文","禁止有意添加","意図的添加禁止"))</f>
        <v>Intentionally 
added</v>
      </c>
      <c r="Y116" s="285"/>
      <c r="Z116" s="285"/>
      <c r="AA116" s="285"/>
      <c r="AB116" s="286"/>
      <c r="AC116" s="245"/>
      <c r="AD116" s="246"/>
      <c r="AE116" s="247"/>
    </row>
    <row r="117" spans="3:31" ht="70.05" customHeight="1">
      <c r="C117" s="213">
        <v>16</v>
      </c>
      <c r="D117" s="354" t="str">
        <f>IF(C12="English","Bis (tributyl tin) = oxide (TBTO)
CASRN56-35-9）",IF(C12="中文","双（三丁基锡）=氧化物；TBTO
(CAS RN 56-35-9)","ビス（トリブチルスズ）=オキシド；TBTO
(CAS RN 56-35-9)"))</f>
        <v>Bis (tributyl tin) = oxide (TBTO)
CASRN56-35-9）</v>
      </c>
      <c r="E117" s="355"/>
      <c r="F117" s="355"/>
      <c r="G117" s="355"/>
      <c r="H117" s="355"/>
      <c r="I117" s="355"/>
      <c r="J117" s="355"/>
      <c r="K117" s="355"/>
      <c r="L117" s="355"/>
      <c r="M117" s="355"/>
      <c r="N117" s="355"/>
      <c r="O117" s="355"/>
      <c r="P117" s="356"/>
      <c r="Q117" s="281" t="str">
        <f>IF(C12="English","All uses",IF(C12="中文","所有用途","全ての用途"))</f>
        <v>All uses</v>
      </c>
      <c r="R117" s="282"/>
      <c r="S117" s="282"/>
      <c r="T117" s="282"/>
      <c r="U117" s="282"/>
      <c r="V117" s="282"/>
      <c r="W117" s="283"/>
      <c r="X117" s="284" t="str">
        <f>IF(C12="English","Intentionally added 
or 1,000ppm 
as Tin atom",IF(C12="中文","禁止有意添加
且　
锡元素1,000","意図的添加禁止
且つ
スズ元素として1,000"))</f>
        <v>Intentionally added 
or 1,000ppm 
as Tin atom</v>
      </c>
      <c r="Y117" s="285"/>
      <c r="Z117" s="285"/>
      <c r="AA117" s="285"/>
      <c r="AB117" s="286"/>
      <c r="AC117" s="245"/>
      <c r="AD117" s="246"/>
      <c r="AE117" s="247"/>
    </row>
    <row r="118" spans="3:31" ht="70.05" customHeight="1">
      <c r="C118" s="202">
        <v>17</v>
      </c>
      <c r="D118" s="290" t="str">
        <f>IF(C12="English","Trisubstituted organotin (Tributyl tin (TBT) compounds, Triphenyl tin (TPT) compounds, etc.)",IF(C12="中文","三取代有机锡化合物(三丁基锡（TBT）化合物、三苯基锡（TPT）化合物等）","三置換有機スズ化合物（トリブチルスズ(TBT)化合物、トリフェニルスズ(TPT)化合物など）"))</f>
        <v>Trisubstituted organotin (Tributyl tin (TBT) compounds, Triphenyl tin (TPT) compounds, etc.)</v>
      </c>
      <c r="E118" s="291"/>
      <c r="F118" s="291"/>
      <c r="G118" s="291"/>
      <c r="H118" s="291"/>
      <c r="I118" s="291"/>
      <c r="J118" s="291"/>
      <c r="K118" s="291"/>
      <c r="L118" s="291"/>
      <c r="M118" s="291"/>
      <c r="N118" s="291"/>
      <c r="O118" s="291"/>
      <c r="P118" s="292"/>
      <c r="Q118" s="281" t="str">
        <f>IF(C12="English","All uses",IF(C12="中文","所有用途","全ての用途"))</f>
        <v>All uses</v>
      </c>
      <c r="R118" s="282"/>
      <c r="S118" s="282"/>
      <c r="T118" s="282"/>
      <c r="U118" s="282"/>
      <c r="V118" s="282"/>
      <c r="W118" s="283"/>
      <c r="X118" s="284" t="str">
        <f>IF(C12="English","Intentionally added 
or 1,000ppm 
as Tin atom",IF(C12="中文","禁止有意添加
且　
锡元素1,000","意図的添加禁止
且つ
スズ元素として1,000"))</f>
        <v>Intentionally added 
or 1,000ppm 
as Tin atom</v>
      </c>
      <c r="Y118" s="285"/>
      <c r="Z118" s="285"/>
      <c r="AA118" s="285"/>
      <c r="AB118" s="286"/>
      <c r="AC118" s="245"/>
      <c r="AD118" s="246"/>
      <c r="AE118" s="247"/>
    </row>
    <row r="119" spans="3:31" ht="30" customHeight="1">
      <c r="C119" s="202">
        <v>18</v>
      </c>
      <c r="D119" s="290" t="str">
        <f>IF(C12="English","Dibutyl tin (DBT) compounds",IF(C12="中文","二丁基锡(DBT)化合物","ジブチルスズ(DBT)化合物"))</f>
        <v>Dibutyl tin (DBT) compounds</v>
      </c>
      <c r="E119" s="291"/>
      <c r="F119" s="291"/>
      <c r="G119" s="291"/>
      <c r="H119" s="291"/>
      <c r="I119" s="291"/>
      <c r="J119" s="291"/>
      <c r="K119" s="291"/>
      <c r="L119" s="291"/>
      <c r="M119" s="291"/>
      <c r="N119" s="291"/>
      <c r="O119" s="291"/>
      <c r="P119" s="292"/>
      <c r="Q119" s="281" t="str">
        <f>IF(C12="English","All uses",IF(C12="中文","所有用途","全ての用途"))</f>
        <v>All uses</v>
      </c>
      <c r="R119" s="282"/>
      <c r="S119" s="282"/>
      <c r="T119" s="282"/>
      <c r="U119" s="282"/>
      <c r="V119" s="282"/>
      <c r="W119" s="283"/>
      <c r="X119" s="284" t="str">
        <f>IF(C12="English","1,000ppm as Tin atom",IF(C12="中文","锡元素1,000","スズ元素として1,000"))</f>
        <v>1,000ppm as Tin atom</v>
      </c>
      <c r="Y119" s="285"/>
      <c r="Z119" s="285"/>
      <c r="AA119" s="285"/>
      <c r="AB119" s="286"/>
      <c r="AC119" s="245"/>
      <c r="AD119" s="246"/>
      <c r="AE119" s="247"/>
    </row>
    <row r="120" spans="3:31" ht="147.75" customHeight="1">
      <c r="C120" s="202">
        <v>19</v>
      </c>
      <c r="D120" s="290" t="str">
        <f>IF(C12="English","Dioctyl tin (DOT) compounds",IF(C12="中文","二辛基锡(DOT)化合物","ジオクチルスズ(DOT)化合物"))</f>
        <v>Dioctyl tin (DOT) compounds</v>
      </c>
      <c r="E120" s="291"/>
      <c r="F120" s="291"/>
      <c r="G120" s="291"/>
      <c r="H120" s="291"/>
      <c r="I120" s="291"/>
      <c r="J120" s="291"/>
      <c r="K120" s="291"/>
      <c r="L120" s="291"/>
      <c r="M120" s="291"/>
      <c r="N120" s="291"/>
      <c r="O120" s="291"/>
      <c r="P120" s="292"/>
      <c r="Q120" s="290" t="str">
        <f>IF(C12="English","Only subject to the following:
・Textile products in contact with human skin
・Toys and childcare articles
・2 solutionat room temperature curing (RTV-2) molding kit",IF(C12="中文","仅适用于以下物品
・接触皮肤的纤维产品
・玩具、儿童用品、育儿产品
・双组分室温固化（RTV-2）成型试剂盒
","下記のみに適用
・皮膚に触れる繊維製品
・玩具、子供向け製品,育児製品
・2液室温硬化（RTV-2）成型キット"))</f>
        <v>Only subject to the following:
・Textile products in contact with human skin
・Toys and childcare articles
・2 solutionat room temperature curing (RTV-2) molding kit</v>
      </c>
      <c r="R120" s="291"/>
      <c r="S120" s="291"/>
      <c r="T120" s="291"/>
      <c r="U120" s="291"/>
      <c r="V120" s="291"/>
      <c r="W120" s="292"/>
      <c r="X120" s="284" t="str">
        <f>IF(C12="English","1,000ppm as Tin atom",IF(C12="中文","锡元素1,000","スズ元素として1,000"))</f>
        <v>1,000ppm as Tin atom</v>
      </c>
      <c r="Y120" s="285"/>
      <c r="Z120" s="285"/>
      <c r="AA120" s="285"/>
      <c r="AB120" s="286"/>
      <c r="AC120" s="245"/>
      <c r="AD120" s="246"/>
      <c r="AE120" s="247"/>
    </row>
    <row r="121" spans="3:31" ht="45" customHeight="1">
      <c r="C121" s="214">
        <v>20</v>
      </c>
      <c r="D121" s="354" t="str">
        <f>IF(C12="English","Specified amines compounds and some azo dye and pigment forming specified amines (coloring agent) (*1)",IF(C12="中文","特定胺化合物及生成特定胺类的部分偶氮染料及颜料（着色剂）（*1）","特定アミン化合物および特定アミン類を生成する一部のアゾ染料・顔料（着色剤）（*1）"))</f>
        <v>Specified amines compounds and some azo dye and pigment forming specified amines (coloring agent) (*1)</v>
      </c>
      <c r="E121" s="355"/>
      <c r="F121" s="355"/>
      <c r="G121" s="355"/>
      <c r="H121" s="355"/>
      <c r="I121" s="355"/>
      <c r="J121" s="355"/>
      <c r="K121" s="355"/>
      <c r="L121" s="355"/>
      <c r="M121" s="355"/>
      <c r="N121" s="355"/>
      <c r="O121" s="355"/>
      <c r="P121" s="356"/>
      <c r="Q121" s="290" t="str">
        <f>IF(C12="English","All uses",IF(C12="中文","所有用途","全ての用途"))</f>
        <v>All uses</v>
      </c>
      <c r="R121" s="291"/>
      <c r="S121" s="291"/>
      <c r="T121" s="291"/>
      <c r="U121" s="291"/>
      <c r="V121" s="291"/>
      <c r="W121" s="292"/>
      <c r="X121" s="284">
        <v>30</v>
      </c>
      <c r="Y121" s="285"/>
      <c r="Z121" s="285"/>
      <c r="AA121" s="285"/>
      <c r="AB121" s="286"/>
      <c r="AC121" s="245"/>
      <c r="AD121" s="246"/>
      <c r="AE121" s="247"/>
    </row>
    <row r="122" spans="3:31" ht="80.099999999999994" customHeight="1">
      <c r="C122" s="215">
        <v>21</v>
      </c>
      <c r="D122" s="354" t="str">
        <f>IF(C12="English","Formaldehyde; Formalin
(CAS RN 50-00-0)",IF(C12="中文","甲醛；福尔马林
(CAS RN 50-00-0)","ホルムアルデヒド；ホルマリン
(CAS RN 50-00-0)"))</f>
        <v>Formaldehyde; Formalin
(CAS RN 50-00-0)</v>
      </c>
      <c r="E122" s="355"/>
      <c r="F122" s="355"/>
      <c r="G122" s="355"/>
      <c r="H122" s="355"/>
      <c r="I122" s="355"/>
      <c r="J122" s="355"/>
      <c r="K122" s="355"/>
      <c r="L122" s="355"/>
      <c r="M122" s="355"/>
      <c r="N122" s="355"/>
      <c r="O122" s="355"/>
      <c r="P122" s="356"/>
      <c r="Q122" s="290" t="str">
        <f>IF(C12="English","Timber products (e.g. speakers and racks, etc.) which are made of fiber boards, particle board, or plywood",IF(C12="中文","使用纤维板、刨花板以及复合板的木工产品（扬声器、架子等）","繊維板（ファイバーボード）、パーティクルボードおよび合板を用いた木工製品（スピーカー、ラック等）"))</f>
        <v>Timber products (e.g. speakers and racks, etc.) which are made of fiber boards, particle board, or plywood</v>
      </c>
      <c r="R122" s="291"/>
      <c r="S122" s="291"/>
      <c r="T122" s="291"/>
      <c r="U122" s="291"/>
      <c r="V122" s="291"/>
      <c r="W122" s="292"/>
      <c r="X122" s="284" t="str">
        <f>IF(C12="English","0.1
（Chamber method: 
EN717-1:200)",IF(C12="中文","0.1
（测量值
密闭小室法）","0.1
（測定値
チャンバー法）"))</f>
        <v>0.1
（Chamber method: 
EN717-1:200)</v>
      </c>
      <c r="Y122" s="285"/>
      <c r="Z122" s="285"/>
      <c r="AA122" s="285"/>
      <c r="AB122" s="286"/>
      <c r="AC122" s="245"/>
      <c r="AD122" s="246"/>
      <c r="AE122" s="247"/>
    </row>
    <row r="123" spans="3:31" ht="15" customHeight="1">
      <c r="C123" s="204"/>
      <c r="D123" s="216"/>
      <c r="E123" s="216"/>
      <c r="F123" s="216"/>
      <c r="G123" s="216"/>
      <c r="H123" s="216"/>
      <c r="I123" s="216"/>
      <c r="J123" s="216"/>
      <c r="K123" s="216"/>
      <c r="L123" s="216"/>
      <c r="M123" s="216"/>
      <c r="N123" s="216"/>
      <c r="O123" s="216"/>
      <c r="P123" s="216"/>
      <c r="Q123" s="229"/>
      <c r="R123" s="229"/>
      <c r="S123" s="229"/>
      <c r="T123" s="229"/>
      <c r="U123" s="229"/>
      <c r="V123" s="229"/>
      <c r="W123" s="229"/>
      <c r="X123" s="217"/>
      <c r="Y123" s="217"/>
      <c r="Z123" s="217"/>
      <c r="AA123" s="217"/>
      <c r="AB123" s="217"/>
      <c r="AC123" s="206"/>
      <c r="AD123" s="206"/>
      <c r="AE123" s="206"/>
    </row>
    <row r="124" spans="3:31" ht="15" customHeight="1">
      <c r="C124" s="204"/>
      <c r="D124" s="216"/>
      <c r="E124" s="216"/>
      <c r="F124" s="216"/>
      <c r="G124" s="216"/>
      <c r="H124" s="216"/>
      <c r="I124" s="216"/>
      <c r="J124" s="216"/>
      <c r="K124" s="216"/>
      <c r="L124" s="216"/>
      <c r="M124" s="216"/>
      <c r="N124" s="216"/>
      <c r="O124" s="216"/>
      <c r="P124" s="216"/>
      <c r="Q124" s="229"/>
      <c r="R124" s="229"/>
      <c r="S124" s="229"/>
      <c r="T124" s="229"/>
      <c r="U124" s="229"/>
      <c r="V124" s="229"/>
      <c r="W124" s="229"/>
      <c r="X124" s="217"/>
      <c r="Y124" s="217"/>
      <c r="Z124" s="217"/>
      <c r="AA124" s="217"/>
      <c r="AB124" s="217"/>
      <c r="AC124" s="206"/>
      <c r="AD124" s="206"/>
      <c r="AE124" s="206"/>
    </row>
    <row r="125" spans="3:31" ht="80.099999999999994" customHeight="1">
      <c r="C125" s="202">
        <v>22</v>
      </c>
      <c r="D125" s="290" t="str">
        <f>IF(C12="English","Nickel and its compounds",IF(C12="中文","镍及其化合物","ニッケルおよびその化合物"))</f>
        <v>Nickel and its compounds</v>
      </c>
      <c r="E125" s="291"/>
      <c r="F125" s="291"/>
      <c r="G125" s="291"/>
      <c r="H125" s="291"/>
      <c r="I125" s="291"/>
      <c r="J125" s="291"/>
      <c r="K125" s="291"/>
      <c r="L125" s="291"/>
      <c r="M125" s="291"/>
      <c r="N125" s="291"/>
      <c r="O125" s="291"/>
      <c r="P125" s="292"/>
      <c r="Q125" s="290" t="str">
        <f>IF(C12="English","Parts that are in contact with human skin for a prolonged time（e.g. earphones, headphones, etc.）",IF(C12="中文","长期接触皮肤的用途（耳机、耳麦等）","長期にわたり皮膚と接触する用途(イヤホン、ヘッドホン等)"))</f>
        <v>Parts that are in contact with human skin for a prolonged time（e.g. earphones, headphones, etc.）</v>
      </c>
      <c r="R125" s="291"/>
      <c r="S125" s="291"/>
      <c r="T125" s="291"/>
      <c r="U125" s="291"/>
      <c r="V125" s="291"/>
      <c r="W125" s="292"/>
      <c r="X125" s="287" t="str">
        <f>IF(C12="English","0.5μg/cm2/week
Test Standard
EN1811：2011
+A1：2015",IF(C12="中文","0.5μg/cm2/week
试验标准
EN1811：2011
+A1：2015","0.5μg/cm2/week
試験規格
EN1811：2011
+A1：2015"))</f>
        <v>0.5μg/cm2/week
Test Standard
EN1811：2011
+A1：2015</v>
      </c>
      <c r="Y125" s="288"/>
      <c r="Z125" s="288"/>
      <c r="AA125" s="288"/>
      <c r="AB125" s="289"/>
      <c r="AC125" s="245"/>
      <c r="AD125" s="246"/>
      <c r="AE125" s="247"/>
    </row>
    <row r="126" spans="3:31" ht="70.05" customHeight="1">
      <c r="C126" s="202">
        <v>23</v>
      </c>
      <c r="D126" s="290" t="str">
        <f>IF(C12="English","Arsenic and its compounds
(including Diarsenic trioxide, Diarsenic pentoxide）",IF(C12="中文","砷及其化合物
（包括三氧化二砷、五氧化二砷）","ヒ素およびその化合物
（三酸化二ヒ素、五酸化二ヒ素を含む）"))</f>
        <v>Arsenic and its compounds
(including Diarsenic trioxide, Diarsenic pentoxide）</v>
      </c>
      <c r="E126" s="291"/>
      <c r="F126" s="291"/>
      <c r="G126" s="291"/>
      <c r="H126" s="291"/>
      <c r="I126" s="291"/>
      <c r="J126" s="291"/>
      <c r="K126" s="291"/>
      <c r="L126" s="291"/>
      <c r="M126" s="291"/>
      <c r="N126" s="291"/>
      <c r="O126" s="291"/>
      <c r="P126" s="292"/>
      <c r="Q126" s="290" t="str">
        <f>IF(C12="English","Only use of Wood preservatives, Antifoam agents or fining agents for the glasses",IF(C12="中文","仅适用于木材防腐剤、玻璃消泡剂、澄清剂等用途","木材の防腐剤、ガラスの消泡剤、清澄剤としての用途のみ適用"))</f>
        <v>Only use of Wood preservatives, Antifoam agents or fining agents for the glasses</v>
      </c>
      <c r="R126" s="291"/>
      <c r="S126" s="291"/>
      <c r="T126" s="291"/>
      <c r="U126" s="291"/>
      <c r="V126" s="291"/>
      <c r="W126" s="292"/>
      <c r="X126" s="336">
        <v>1000</v>
      </c>
      <c r="Y126" s="337"/>
      <c r="Z126" s="337"/>
      <c r="AA126" s="337"/>
      <c r="AB126" s="338"/>
      <c r="AC126" s="245"/>
      <c r="AD126" s="246"/>
      <c r="AE126" s="247"/>
    </row>
    <row r="127" spans="3:31" ht="30" customHeight="1">
      <c r="C127" s="202">
        <v>24</v>
      </c>
      <c r="D127" s="287" t="str">
        <f>IF(C12="English","Radioactive substances",IF(C12="中文","放射性物质","放射性物質"))</f>
        <v>Radioactive substances</v>
      </c>
      <c r="E127" s="288"/>
      <c r="F127" s="288"/>
      <c r="G127" s="288"/>
      <c r="H127" s="288"/>
      <c r="I127" s="288"/>
      <c r="J127" s="288"/>
      <c r="K127" s="288"/>
      <c r="L127" s="288"/>
      <c r="M127" s="288"/>
      <c r="N127" s="288"/>
      <c r="O127" s="288"/>
      <c r="P127" s="289"/>
      <c r="Q127" s="281" t="str">
        <f>IF(C12="English","All uses",IF(C12="中文","所有用途","全ての用途"))</f>
        <v>All uses</v>
      </c>
      <c r="R127" s="282"/>
      <c r="S127" s="282"/>
      <c r="T127" s="282"/>
      <c r="U127" s="282"/>
      <c r="V127" s="282"/>
      <c r="W127" s="283"/>
      <c r="X127" s="284" t="str">
        <f>IF(C12="English","Intentionally 
added",IF(C12="中文","禁止有意添加","意図的添加禁止"))</f>
        <v>Intentionally 
added</v>
      </c>
      <c r="Y127" s="285"/>
      <c r="Z127" s="285"/>
      <c r="AA127" s="285"/>
      <c r="AB127" s="286"/>
      <c r="AC127" s="245"/>
      <c r="AD127" s="246"/>
      <c r="AE127" s="247"/>
    </row>
    <row r="128" spans="3:31" ht="93" customHeight="1">
      <c r="C128" s="202">
        <v>25</v>
      </c>
      <c r="D128" s="354" t="str">
        <f>IF(C12="English","Perfluorooctane sulfonic acid and its derivatives (PFOS)",IF(C12="中文","全氟辛烷磺酸（PFOS）及其衍⽣物","パーフルオロオクタンスルホン酸(PFOS)およびその誘導体"))</f>
        <v>Perfluorooctane sulfonic acid and its derivatives (PFOS)</v>
      </c>
      <c r="E128" s="355"/>
      <c r="F128" s="355"/>
      <c r="G128" s="355"/>
      <c r="H128" s="355"/>
      <c r="I128" s="355"/>
      <c r="J128" s="355"/>
      <c r="K128" s="355"/>
      <c r="L128" s="355"/>
      <c r="M128" s="355"/>
      <c r="N128" s="355"/>
      <c r="O128" s="355"/>
      <c r="P128" s="356"/>
      <c r="Q128" s="290" t="str">
        <f>IF(C12="English","All uses",IF(C12="中文","所有用途","全ての用途"))</f>
        <v>All uses</v>
      </c>
      <c r="R128" s="291"/>
      <c r="S128" s="291"/>
      <c r="T128" s="291"/>
      <c r="U128" s="291"/>
      <c r="V128" s="291"/>
      <c r="W128" s="292"/>
      <c r="X128" s="357" t="str">
        <f>IF(C12="English","Intentionally added or 
PFOS and its derivatives in total: 1,000ppb
(1ppm)",IF(C12="中文","禁止有意添加
且
PFOS及其衍⽣物合计: 1000ppb
(1ppm)","意図的添加禁止且つ
PFOSとその誘導体の合計：
1000 ppb
(1ppm)
"))</f>
        <v>Intentionally added or 
PFOS and its derivatives in total: 1,000ppb
(1ppm)</v>
      </c>
      <c r="Y128" s="358"/>
      <c r="Z128" s="358"/>
      <c r="AA128" s="358"/>
      <c r="AB128" s="359"/>
      <c r="AC128" s="245"/>
      <c r="AD128" s="246"/>
      <c r="AE128" s="247"/>
    </row>
    <row r="129" spans="3:31" ht="136.19999999999999" customHeight="1">
      <c r="C129" s="215">
        <v>26</v>
      </c>
      <c r="D129" s="354" t="str">
        <f>IF(C12="English","Perfluorooctanic acids (PFOA) and its salts and PFOA-related substances(*2）",IF(C12="中文","全氟辛酸（PFOA）及其盐类和PFOA相关物质 ( *2)","パーフルオロオクタン酸（PFOA)とその塩および PFOA 関連物質（*2）"))</f>
        <v>Perfluorooctanic acids (PFOA) and its salts and PFOA-related substances(*2）</v>
      </c>
      <c r="E129" s="355"/>
      <c r="F129" s="355"/>
      <c r="G129" s="355"/>
      <c r="H129" s="355"/>
      <c r="I129" s="355"/>
      <c r="J129" s="355"/>
      <c r="K129" s="355"/>
      <c r="L129" s="355"/>
      <c r="M129" s="355"/>
      <c r="N129" s="355"/>
      <c r="O129" s="355"/>
      <c r="P129" s="356"/>
      <c r="Q129" s="290" t="str">
        <f>IF(C12="English","All uses for not medical devices",IF(C12="中文","医疗器械用途之外的所有用途","医療機器用途を除く、全ての用途"))</f>
        <v>All uses for not medical devices</v>
      </c>
      <c r="R129" s="291"/>
      <c r="S129" s="291"/>
      <c r="T129" s="291"/>
      <c r="U129" s="291"/>
      <c r="V129" s="291"/>
      <c r="W129" s="292"/>
      <c r="X129" s="360" t="str">
        <f>IF(C12="English","Intentionally added or Perfluorooctanoic acid (PFOA) and
 its salts in total : 25ppb
PFOA-related substances : 
In total
 1000ppb (1ppm)",IF(C12="中文","禁止有意添加
且
PFOA及其盐类合计
：25ppb
PFOA相关物质合計：1000ppb
　　（1ppm）
","意図的添加禁止
且つ 
パーフルオロオクタン酸 (PFOA)と
その塩の合計：25ppb
PFOA関連物質
合計：1,000ppb
(1ppm)"))</f>
        <v>Intentionally added or Perfluorooctanoic acid (PFOA) and
 its salts in total : 25ppb
PFOA-related substances : 
In total
 1000ppb (1ppm)</v>
      </c>
      <c r="Y129" s="361"/>
      <c r="Z129" s="361"/>
      <c r="AA129" s="361"/>
      <c r="AB129" s="362"/>
      <c r="AC129" s="245"/>
      <c r="AD129" s="246"/>
      <c r="AE129" s="247"/>
    </row>
    <row r="130" spans="3:31" ht="45" customHeight="1">
      <c r="C130" s="202">
        <v>27</v>
      </c>
      <c r="D130" s="290" t="str">
        <f>IF(C12="English","Long-Chain Perfluoroalkyl Carboxylate (LCPFACs)",IF(C12="中文","长链全氟烷基羧酸盐(LCPFACs)","長鎖パーフルオロアルキルカルボン酸化合物 (LCPFACs)"))</f>
        <v>Long-Chain Perfluoroalkyl Carboxylate (LCPFACs)</v>
      </c>
      <c r="E130" s="291"/>
      <c r="F130" s="291"/>
      <c r="G130" s="291"/>
      <c r="H130" s="291"/>
      <c r="I130" s="291"/>
      <c r="J130" s="291"/>
      <c r="K130" s="291"/>
      <c r="L130" s="291"/>
      <c r="M130" s="291"/>
      <c r="N130" s="291"/>
      <c r="O130" s="291"/>
      <c r="P130" s="292"/>
      <c r="Q130" s="290" t="str">
        <f>IF(C12="English","Parts with surface coating, and material used to coat articles",IF(C12="中文","有表面涂层的零件或用于成形品涂层的材料","表面コーティングを有する部品又は成形品をコーティングする為の材料"))</f>
        <v>Parts with surface coating, and material used to coat articles</v>
      </c>
      <c r="R130" s="291"/>
      <c r="S130" s="291"/>
      <c r="T130" s="291"/>
      <c r="U130" s="291"/>
      <c r="V130" s="291"/>
      <c r="W130" s="292"/>
      <c r="X130" s="284" t="str">
        <f>IF(C12="English","Intentionally 
added",IF(C12="中文","禁止有意添加","意図的添加禁止"))</f>
        <v>Intentionally 
added</v>
      </c>
      <c r="Y130" s="285"/>
      <c r="Z130" s="285"/>
      <c r="AA130" s="285"/>
      <c r="AB130" s="286"/>
      <c r="AC130" s="245"/>
      <c r="AD130" s="246"/>
      <c r="AE130" s="247"/>
    </row>
    <row r="131" spans="3:31" ht="60" customHeight="1">
      <c r="C131" s="202">
        <v>28</v>
      </c>
      <c r="D131" s="354" t="str">
        <f>IF(C12="English","Specific benzotriazole
2-(2H-benzotriazol-2-yl)-4,6-di-tert-butylphenol
（CASRN3846-71-7）",IF(C12="中文","特定苯并三唑
2-(2H-1,2,3-苯并三唑-2-基)- 4,6-二叔丁基苯酚
（UV-320）(CAS RN 3846-71-7)","特定ベンゾトリアゾール
2-(2H-1,2,3-ベンゾトリアゾール-2-イル)-4,6-ジ-tert-ブチルフェノール（UV-320）
(CAS RN 3846-71-7)"))</f>
        <v>Specific benzotriazole
2-(2H-benzotriazol-2-yl)-4,6-di-tert-butylphenol
（CASRN3846-71-7）</v>
      </c>
      <c r="E131" s="355"/>
      <c r="F131" s="355"/>
      <c r="G131" s="355"/>
      <c r="H131" s="355"/>
      <c r="I131" s="355"/>
      <c r="J131" s="355"/>
      <c r="K131" s="355"/>
      <c r="L131" s="355"/>
      <c r="M131" s="355"/>
      <c r="N131" s="355"/>
      <c r="O131" s="355"/>
      <c r="P131" s="356"/>
      <c r="Q131" s="290" t="str">
        <f>IF(C12="English","All uses",IF(C12="中文","所有用途","全ての用途"))</f>
        <v>All uses</v>
      </c>
      <c r="R131" s="291"/>
      <c r="S131" s="291"/>
      <c r="T131" s="291"/>
      <c r="U131" s="291"/>
      <c r="V131" s="291"/>
      <c r="W131" s="292"/>
      <c r="X131" s="284" t="str">
        <f>IF(C12="English","Intentionally 
added",IF(C12="中文","禁止有意添加","意図的添加禁止"))</f>
        <v>Intentionally 
added</v>
      </c>
      <c r="Y131" s="285"/>
      <c r="Z131" s="285"/>
      <c r="AA131" s="285"/>
      <c r="AB131" s="286"/>
      <c r="AC131" s="245"/>
      <c r="AD131" s="246"/>
      <c r="AE131" s="247"/>
    </row>
    <row r="132" spans="3:31" ht="40.049999999999997" customHeight="1">
      <c r="C132" s="202">
        <v>29</v>
      </c>
      <c r="D132" s="290" t="str">
        <f>IF(C12="English","Cobalt chloride
(CASRN7646-79-9)",IF(C12="中文","氯化钴
(CAS RN 7646-79-9)","塩化コバルト
(CAS RN 7646-79-9)"))</f>
        <v>Cobalt chloride
(CASRN7646-79-9)</v>
      </c>
      <c r="E132" s="291"/>
      <c r="F132" s="291"/>
      <c r="G132" s="291"/>
      <c r="H132" s="291"/>
      <c r="I132" s="291"/>
      <c r="J132" s="291"/>
      <c r="K132" s="291"/>
      <c r="L132" s="291"/>
      <c r="M132" s="291"/>
      <c r="N132" s="291"/>
      <c r="O132" s="291"/>
      <c r="P132" s="292"/>
      <c r="Q132" s="281" t="str">
        <f>IF(C12="English","All uses",IF(C12="中文","所有用途","全ての用途"))</f>
        <v>All uses</v>
      </c>
      <c r="R132" s="282"/>
      <c r="S132" s="282"/>
      <c r="T132" s="282"/>
      <c r="U132" s="282"/>
      <c r="V132" s="282"/>
      <c r="W132" s="283"/>
      <c r="X132" s="284" t="str">
        <f>IF(C12="English","Intentionally added or 1,000",IF(C12="中文","禁止有意添加
且　1,000","意図的添加禁止
且つ 1,000"))</f>
        <v>Intentionally added or 1,000</v>
      </c>
      <c r="Y132" s="285"/>
      <c r="Z132" s="285"/>
      <c r="AA132" s="285"/>
      <c r="AB132" s="286"/>
      <c r="AC132" s="245"/>
      <c r="AD132" s="246"/>
      <c r="AE132" s="247"/>
    </row>
    <row r="133" spans="3:31" ht="40.049999999999997" customHeight="1">
      <c r="C133" s="202">
        <v>30</v>
      </c>
      <c r="D133" s="290" t="str">
        <f>IF(C12="English","Beryllium oxide 
(CASRN1304-56-9)",IF(C12="中文","氧化铍
(CAS RN 1304-56-9)","酸化ベリリウム
(CAS RN 1304-56-9)"))</f>
        <v>Beryllium oxide 
(CASRN1304-56-9)</v>
      </c>
      <c r="E133" s="291"/>
      <c r="F133" s="291"/>
      <c r="G133" s="291"/>
      <c r="H133" s="291"/>
      <c r="I133" s="291"/>
      <c r="J133" s="291"/>
      <c r="K133" s="291"/>
      <c r="L133" s="291"/>
      <c r="M133" s="291"/>
      <c r="N133" s="291"/>
      <c r="O133" s="291"/>
      <c r="P133" s="292"/>
      <c r="Q133" s="281" t="str">
        <f>IF(C12="English","All uses",IF(C12="中文","所有用途","全ての用途"))</f>
        <v>All uses</v>
      </c>
      <c r="R133" s="282"/>
      <c r="S133" s="282"/>
      <c r="T133" s="282"/>
      <c r="U133" s="282"/>
      <c r="V133" s="282"/>
      <c r="W133" s="283"/>
      <c r="X133" s="284" t="str">
        <f>IF(C12="English","Intentionally added or 1,000",IF(C12="中文","禁止有意添加
且　1,000","意図的添加禁止
且つ 1,000"))</f>
        <v>Intentionally added or 1,000</v>
      </c>
      <c r="Y133" s="285"/>
      <c r="Z133" s="285"/>
      <c r="AA133" s="285"/>
      <c r="AB133" s="286"/>
      <c r="AC133" s="245"/>
      <c r="AD133" s="246"/>
      <c r="AE133" s="247"/>
    </row>
    <row r="134" spans="3:31" ht="30" customHeight="1">
      <c r="C134" s="202">
        <v>31</v>
      </c>
      <c r="D134" s="354" t="str">
        <f>IF(C12="English","Dimetylfumarate (DMF)
(CASRN624-49-7)",IF(C12="中文","富马酸二甲酯(DMF)
(CAS RN 624-49-7)","フマル酸ジメチル(DMF)
(CAS RN 624-49-7)"))</f>
        <v>Dimetylfumarate (DMF)
(CASRN624-49-7)</v>
      </c>
      <c r="E134" s="355"/>
      <c r="F134" s="355"/>
      <c r="G134" s="355"/>
      <c r="H134" s="355"/>
      <c r="I134" s="355"/>
      <c r="J134" s="355"/>
      <c r="K134" s="355"/>
      <c r="L134" s="355"/>
      <c r="M134" s="355"/>
      <c r="N134" s="355"/>
      <c r="O134" s="355"/>
      <c r="P134" s="356"/>
      <c r="Q134" s="290" t="str">
        <f>IF(C12="English","All uses",IF(C12="中文","所有用途","全ての用途"))</f>
        <v>All uses</v>
      </c>
      <c r="R134" s="291"/>
      <c r="S134" s="291"/>
      <c r="T134" s="291"/>
      <c r="U134" s="291"/>
      <c r="V134" s="291"/>
      <c r="W134" s="292"/>
      <c r="X134" s="284">
        <v>0.1</v>
      </c>
      <c r="Y134" s="285"/>
      <c r="Z134" s="285"/>
      <c r="AA134" s="285"/>
      <c r="AB134" s="286"/>
      <c r="AC134" s="245"/>
      <c r="AD134" s="246"/>
      <c r="AE134" s="247"/>
    </row>
    <row r="135" spans="3:31" ht="30" customHeight="1">
      <c r="C135" s="202">
        <v>32</v>
      </c>
      <c r="D135" s="354" t="str">
        <f>IF(C12="English","Tris(2-chloroethyl) phosphate（TCEP）(CAS RN 115-96-8)",IF(C12="中文","磷酸三（2-氯乙基）酯（TCEP）(CAS RN 115-96-8)","リン酸トリス（2-クロロエチル）（TCEP）(CAS RN 115-96-8)"))</f>
        <v>Tris(2-chloroethyl) phosphate（TCEP）(CAS RN 115-96-8)</v>
      </c>
      <c r="E135" s="355"/>
      <c r="F135" s="355"/>
      <c r="G135" s="355"/>
      <c r="H135" s="355"/>
      <c r="I135" s="355"/>
      <c r="J135" s="355"/>
      <c r="K135" s="355"/>
      <c r="L135" s="355"/>
      <c r="M135" s="355"/>
      <c r="N135" s="355"/>
      <c r="O135" s="355"/>
      <c r="P135" s="356"/>
      <c r="Q135" s="290" t="str">
        <f>IF(C12="English","All uses",IF(C12="中文","所有用途","全ての用途"))</f>
        <v>All uses</v>
      </c>
      <c r="R135" s="291"/>
      <c r="S135" s="291"/>
      <c r="T135" s="291"/>
      <c r="U135" s="291"/>
      <c r="V135" s="291"/>
      <c r="W135" s="292"/>
      <c r="X135" s="336">
        <v>1000</v>
      </c>
      <c r="Y135" s="337"/>
      <c r="Z135" s="337"/>
      <c r="AA135" s="337"/>
      <c r="AB135" s="338"/>
      <c r="AC135" s="245"/>
      <c r="AD135" s="246"/>
      <c r="AE135" s="247"/>
    </row>
    <row r="136" spans="3:31" ht="30" customHeight="1">
      <c r="C136" s="202">
        <v>33</v>
      </c>
      <c r="D136" s="354" t="str">
        <f>IF(C12="English","Tris(1-chloro-2- propyl) phosphate（TCPP）(CAS RN 13674-84-5)",IF(C12="中文","磷酸三（1-氯-2-丙基）酯（TCPP）(CAS RN 13674-84-5)","リン酸トリス（1-クロロ-2-プロピル）（TCPP）(CAS RN 13674-84-5)"))</f>
        <v>Tris(1-chloro-2- propyl) phosphate（TCPP）(CAS RN 13674-84-5)</v>
      </c>
      <c r="E136" s="355"/>
      <c r="F136" s="355"/>
      <c r="G136" s="355"/>
      <c r="H136" s="355"/>
      <c r="I136" s="355"/>
      <c r="J136" s="355"/>
      <c r="K136" s="355"/>
      <c r="L136" s="355"/>
      <c r="M136" s="355"/>
      <c r="N136" s="355"/>
      <c r="O136" s="355"/>
      <c r="P136" s="356"/>
      <c r="Q136" s="290" t="str">
        <f>IF(C12="English","Use of flame retardants for resin or textile",IF(C12="中文","用于树脂、纤维的阻燃剂用途","樹脂、繊維への難燃剤用途"))</f>
        <v>Use of flame retardants for resin or textile</v>
      </c>
      <c r="R136" s="291"/>
      <c r="S136" s="291"/>
      <c r="T136" s="291"/>
      <c r="U136" s="291"/>
      <c r="V136" s="291"/>
      <c r="W136" s="292"/>
      <c r="X136" s="336">
        <v>1000</v>
      </c>
      <c r="Y136" s="337"/>
      <c r="Z136" s="337"/>
      <c r="AA136" s="337"/>
      <c r="AB136" s="338"/>
      <c r="AC136" s="245"/>
      <c r="AD136" s="246"/>
      <c r="AE136" s="247"/>
    </row>
    <row r="137" spans="3:31" ht="30" customHeight="1">
      <c r="C137" s="202">
        <v>34</v>
      </c>
      <c r="D137" s="290" t="str">
        <f>IF(C12="English","Tris(1,3-dichloro-2-propyl) phosphate（TDCPP）(CAS RN 13674-87-8)",IF(C12="中文","磷酸三（1,3-二氯-2-丙基）酯（TDCPP）(CAS RN 13674-87-8)","リン酸トリス（1,3-ジクロロ-2-プロピル）（TDCPP）(CAS RN 13674-87-8)"))</f>
        <v>Tris(1,3-dichloro-2-propyl) phosphate（TDCPP）(CAS RN 13674-87-8)</v>
      </c>
      <c r="E137" s="291"/>
      <c r="F137" s="291"/>
      <c r="G137" s="291"/>
      <c r="H137" s="291"/>
      <c r="I137" s="291"/>
      <c r="J137" s="291"/>
      <c r="K137" s="291"/>
      <c r="L137" s="291"/>
      <c r="M137" s="291"/>
      <c r="N137" s="291"/>
      <c r="O137" s="291"/>
      <c r="P137" s="292"/>
      <c r="Q137" s="290" t="str">
        <f>IF(C12="English","Use of flame retardants for resin or textile",IF(C12="中文","用于树脂、纤维的阻燃剂用途","樹脂、繊維への難燃剤用途"))</f>
        <v>Use of flame retardants for resin or textile</v>
      </c>
      <c r="R137" s="291"/>
      <c r="S137" s="291"/>
      <c r="T137" s="291"/>
      <c r="U137" s="291"/>
      <c r="V137" s="291"/>
      <c r="W137" s="292"/>
      <c r="X137" s="336">
        <v>1000</v>
      </c>
      <c r="Y137" s="337"/>
      <c r="Z137" s="337"/>
      <c r="AA137" s="337"/>
      <c r="AB137" s="338"/>
      <c r="AC137" s="245"/>
      <c r="AD137" s="246"/>
      <c r="AE137" s="247"/>
    </row>
    <row r="138" spans="3:31" ht="40.049999999999997" customHeight="1">
      <c r="C138" s="215">
        <v>35</v>
      </c>
      <c r="D138" s="354" t="str">
        <f>IF(C12="English","Hexabromocyclododecane (HBCDD) and all major diastereoisomers identified",IF(C12="中文","六溴环十二烷（HBCDD）以及所有主要非对映体","ヘキサブロモシクロドデカン（HBCDD）および全主要ジアステレオマー"))</f>
        <v>Hexabromocyclododecane (HBCDD) and all major diastereoisomers identified</v>
      </c>
      <c r="E138" s="355"/>
      <c r="F138" s="355"/>
      <c r="G138" s="355"/>
      <c r="H138" s="355"/>
      <c r="I138" s="355"/>
      <c r="J138" s="355"/>
      <c r="K138" s="355"/>
      <c r="L138" s="355"/>
      <c r="M138" s="355"/>
      <c r="N138" s="355"/>
      <c r="O138" s="355"/>
      <c r="P138" s="356"/>
      <c r="Q138" s="290" t="str">
        <f>IF(C12="English","All uses",IF(C12="中文","所有用途","全ての用途"))</f>
        <v>All uses</v>
      </c>
      <c r="R138" s="291"/>
      <c r="S138" s="291"/>
      <c r="T138" s="291"/>
      <c r="U138" s="291"/>
      <c r="V138" s="291"/>
      <c r="W138" s="292"/>
      <c r="X138" s="284" t="str">
        <f>IF(C12="English","Intentionally added or 75",IF(C12="中文","禁止有意添加
且　75","意図的添加禁止
且つ 75"))</f>
        <v>Intentionally added or 75</v>
      </c>
      <c r="Y138" s="285"/>
      <c r="Z138" s="285"/>
      <c r="AA138" s="285"/>
      <c r="AB138" s="286"/>
      <c r="AC138" s="245"/>
      <c r="AD138" s="246"/>
      <c r="AE138" s="247"/>
    </row>
    <row r="139" spans="3:31" ht="15" customHeight="1">
      <c r="C139" s="204"/>
      <c r="D139" s="205"/>
      <c r="E139" s="205"/>
      <c r="F139" s="205"/>
      <c r="G139" s="205"/>
      <c r="H139" s="205"/>
      <c r="I139" s="205"/>
      <c r="J139" s="205"/>
      <c r="K139" s="205"/>
      <c r="L139" s="205"/>
      <c r="M139" s="205"/>
      <c r="N139" s="205"/>
      <c r="O139" s="205"/>
      <c r="P139" s="205"/>
      <c r="Q139" s="231"/>
      <c r="R139" s="231"/>
      <c r="S139" s="231"/>
      <c r="T139" s="231"/>
      <c r="U139" s="231"/>
      <c r="V139" s="231"/>
      <c r="W139" s="231"/>
      <c r="X139" s="228"/>
      <c r="Y139" s="228"/>
      <c r="Z139" s="228"/>
      <c r="AA139" s="228"/>
      <c r="AB139" s="228"/>
      <c r="AC139" s="206"/>
      <c r="AD139" s="206"/>
      <c r="AE139" s="206"/>
    </row>
    <row r="140" spans="3:31" ht="15" customHeight="1">
      <c r="C140" s="204"/>
      <c r="D140" s="205"/>
      <c r="E140" s="205"/>
      <c r="F140" s="205"/>
      <c r="G140" s="205"/>
      <c r="H140" s="205"/>
      <c r="I140" s="205"/>
      <c r="J140" s="205"/>
      <c r="K140" s="205"/>
      <c r="L140" s="205"/>
      <c r="M140" s="205"/>
      <c r="N140" s="205"/>
      <c r="O140" s="205"/>
      <c r="P140" s="205"/>
      <c r="Q140" s="231"/>
      <c r="R140" s="231"/>
      <c r="S140" s="231"/>
      <c r="T140" s="231"/>
      <c r="U140" s="231"/>
      <c r="V140" s="231"/>
      <c r="W140" s="231"/>
      <c r="X140" s="228"/>
      <c r="Y140" s="228"/>
      <c r="Z140" s="228"/>
      <c r="AA140" s="228"/>
      <c r="AB140" s="228"/>
      <c r="AC140" s="206"/>
      <c r="AD140" s="206"/>
      <c r="AE140" s="206"/>
    </row>
    <row r="141" spans="3:31" ht="15" customHeight="1">
      <c r="C141" s="204"/>
      <c r="D141" s="205"/>
      <c r="E141" s="205"/>
      <c r="F141" s="205"/>
      <c r="G141" s="205"/>
      <c r="H141" s="205"/>
      <c r="I141" s="205"/>
      <c r="J141" s="205"/>
      <c r="K141" s="205"/>
      <c r="L141" s="205"/>
      <c r="M141" s="205"/>
      <c r="N141" s="205"/>
      <c r="O141" s="205"/>
      <c r="P141" s="205"/>
      <c r="Q141" s="231"/>
      <c r="R141" s="231"/>
      <c r="S141" s="231"/>
      <c r="T141" s="231"/>
      <c r="U141" s="231"/>
      <c r="V141" s="231"/>
      <c r="W141" s="231"/>
      <c r="X141" s="228"/>
      <c r="Y141" s="228"/>
      <c r="Z141" s="228"/>
      <c r="AA141" s="228"/>
      <c r="AB141" s="228"/>
      <c r="AC141" s="206"/>
      <c r="AD141" s="206"/>
      <c r="AE141" s="206"/>
    </row>
    <row r="142" spans="3:31" ht="15" customHeight="1">
      <c r="C142" s="204"/>
      <c r="D142" s="205"/>
      <c r="E142" s="205"/>
      <c r="F142" s="205"/>
      <c r="G142" s="205"/>
      <c r="H142" s="205"/>
      <c r="I142" s="205"/>
      <c r="J142" s="205"/>
      <c r="K142" s="205"/>
      <c r="L142" s="205"/>
      <c r="M142" s="205"/>
      <c r="N142" s="205"/>
      <c r="O142" s="205"/>
      <c r="P142" s="205"/>
      <c r="Q142" s="231"/>
      <c r="R142" s="231"/>
      <c r="S142" s="231"/>
      <c r="T142" s="231"/>
      <c r="U142" s="231"/>
      <c r="V142" s="231"/>
      <c r="W142" s="231"/>
      <c r="X142" s="228"/>
      <c r="Y142" s="228"/>
      <c r="Z142" s="228"/>
      <c r="AA142" s="228"/>
      <c r="AB142" s="228"/>
      <c r="AC142" s="206"/>
      <c r="AD142" s="206"/>
      <c r="AE142" s="206"/>
    </row>
    <row r="143" spans="3:31" ht="15" customHeight="1">
      <c r="C143" s="204"/>
      <c r="D143" s="205"/>
      <c r="E143" s="205"/>
      <c r="F143" s="205"/>
      <c r="G143" s="205"/>
      <c r="H143" s="205"/>
      <c r="I143" s="205"/>
      <c r="J143" s="205"/>
      <c r="K143" s="205"/>
      <c r="L143" s="205"/>
      <c r="M143" s="205"/>
      <c r="N143" s="205"/>
      <c r="O143" s="205"/>
      <c r="P143" s="205"/>
      <c r="Q143" s="231"/>
      <c r="R143" s="231"/>
      <c r="S143" s="231"/>
      <c r="T143" s="231"/>
      <c r="U143" s="231"/>
      <c r="V143" s="231"/>
      <c r="W143" s="231"/>
      <c r="X143" s="228"/>
      <c r="Y143" s="228"/>
      <c r="Z143" s="228"/>
      <c r="AA143" s="228"/>
      <c r="AB143" s="228"/>
      <c r="AC143" s="206"/>
      <c r="AD143" s="206"/>
      <c r="AE143" s="206"/>
    </row>
    <row r="144" spans="3:31" ht="15" customHeight="1">
      <c r="C144" s="204"/>
      <c r="D144" s="205"/>
      <c r="E144" s="205"/>
      <c r="F144" s="205"/>
      <c r="G144" s="205"/>
      <c r="H144" s="205"/>
      <c r="I144" s="205"/>
      <c r="J144" s="205"/>
      <c r="K144" s="205"/>
      <c r="L144" s="205"/>
      <c r="M144" s="205"/>
      <c r="N144" s="205"/>
      <c r="O144" s="205"/>
      <c r="P144" s="205"/>
      <c r="Q144" s="231"/>
      <c r="R144" s="231"/>
      <c r="S144" s="231"/>
      <c r="T144" s="231"/>
      <c r="U144" s="231"/>
      <c r="V144" s="231"/>
      <c r="W144" s="231"/>
      <c r="X144" s="228"/>
      <c r="Y144" s="228"/>
      <c r="Z144" s="228"/>
      <c r="AA144" s="228"/>
      <c r="AB144" s="228"/>
      <c r="AC144" s="206"/>
      <c r="AD144" s="206"/>
      <c r="AE144" s="206"/>
    </row>
    <row r="145" spans="3:33" ht="15" customHeight="1">
      <c r="C145" s="204"/>
      <c r="D145" s="205"/>
      <c r="E145" s="205"/>
      <c r="F145" s="205"/>
      <c r="G145" s="205"/>
      <c r="H145" s="205"/>
      <c r="I145" s="205"/>
      <c r="J145" s="205"/>
      <c r="K145" s="205"/>
      <c r="L145" s="205"/>
      <c r="M145" s="205"/>
      <c r="N145" s="205"/>
      <c r="O145" s="205"/>
      <c r="P145" s="205"/>
      <c r="Q145" s="231"/>
      <c r="R145" s="231"/>
      <c r="S145" s="231"/>
      <c r="T145" s="231"/>
      <c r="U145" s="231"/>
      <c r="V145" s="231"/>
      <c r="W145" s="231"/>
      <c r="X145" s="228"/>
      <c r="Y145" s="228"/>
      <c r="Z145" s="228"/>
      <c r="AA145" s="228"/>
      <c r="AB145" s="228"/>
      <c r="AC145" s="206"/>
      <c r="AD145" s="206"/>
      <c r="AE145" s="206"/>
    </row>
    <row r="146" spans="3:33" s="238" customFormat="1" ht="20.100000000000001" customHeight="1">
      <c r="C146" s="520">
        <v>36</v>
      </c>
      <c r="D146" s="523" t="str">
        <f>IF(C12="English","PAHs(8 substances below)",IF(C12="中文","PAHs （下述8种物质）","PAHs （下記8物質）"))</f>
        <v>PAHs(8 substances below)</v>
      </c>
      <c r="E146" s="524"/>
      <c r="F146" s="524"/>
      <c r="G146" s="524"/>
      <c r="H146" s="524"/>
      <c r="I146" s="524"/>
      <c r="J146" s="524"/>
      <c r="K146" s="524"/>
      <c r="L146" s="524"/>
      <c r="M146" s="524"/>
      <c r="N146" s="524"/>
      <c r="O146" s="524"/>
      <c r="P146" s="525"/>
      <c r="Q146" s="526" t="str">
        <f>IF(C12="English","Rubber and plastic parts that come into direct as well as prolonged or short-term repetitive contact with the human skin or the oral cavity",IF(C12="中文","长期或反复直接接触皮肤或口腔的橡胶或塑料部件","直接皮膚や口腔に長期、繰り返し接触するゴムやプラスチック部品"))</f>
        <v>Rubber and plastic parts that come into direct as well as prolonged or short-term repetitive contact with the human skin or the oral cavity</v>
      </c>
      <c r="R146" s="527"/>
      <c r="S146" s="527"/>
      <c r="T146" s="528"/>
      <c r="U146" s="535" t="str">
        <f>IF(C12="English","Toys",IF(C12="中文","玩具","玩具"))</f>
        <v>Toys</v>
      </c>
      <c r="V146" s="535"/>
      <c r="W146" s="536"/>
      <c r="X146" s="541" t="str">
        <f>IF(C12="English","Each substance:
0.5",IF(C12="中文","各成分: 0.5","各成分0.5"))</f>
        <v>Each substance:
0.5</v>
      </c>
      <c r="Y146" s="542"/>
      <c r="Z146" s="542"/>
      <c r="AA146" s="542"/>
      <c r="AB146" s="543"/>
      <c r="AC146" s="547"/>
      <c r="AD146" s="548"/>
      <c r="AE146" s="549"/>
      <c r="AG146" s="3"/>
    </row>
    <row r="147" spans="3:33" s="238" customFormat="1" ht="25.05" customHeight="1">
      <c r="C147" s="521"/>
      <c r="D147" s="550" t="str">
        <f>IF(C12="English","Benzo[a]pyrene (CAS RN 50-32-8)",IF(C12="中文","苯并[a]芘  (CAS RN 50-32-8)","ベンゾ[a]ピレン  (CAS RN 50-32-8)"))</f>
        <v>Benzo[a]pyrene (CAS RN 50-32-8)</v>
      </c>
      <c r="E147" s="551"/>
      <c r="F147" s="551"/>
      <c r="G147" s="551"/>
      <c r="H147" s="551"/>
      <c r="I147" s="551"/>
      <c r="J147" s="551"/>
      <c r="K147" s="551"/>
      <c r="L147" s="551"/>
      <c r="M147" s="551"/>
      <c r="N147" s="551"/>
      <c r="O147" s="551"/>
      <c r="P147" s="552"/>
      <c r="Q147" s="529"/>
      <c r="R147" s="530"/>
      <c r="S147" s="530"/>
      <c r="T147" s="531"/>
      <c r="U147" s="537"/>
      <c r="V147" s="537"/>
      <c r="W147" s="538"/>
      <c r="X147" s="544"/>
      <c r="Y147" s="545"/>
      <c r="Z147" s="545"/>
      <c r="AA147" s="545"/>
      <c r="AB147" s="546"/>
      <c r="AC147" s="506"/>
      <c r="AD147" s="507"/>
      <c r="AE147" s="508"/>
      <c r="AG147" s="3"/>
    </row>
    <row r="148" spans="3:33" s="238" customFormat="1" ht="25.05" customHeight="1">
      <c r="C148" s="521"/>
      <c r="D148" s="503" t="str">
        <f>IF(C12="English","Benzo[e]pyrene (CAS RN 192-97-2)",IF(C12="中文","苯并[e]芘  (CAS RN 192-97-2)","ベンゾ[e]ピレン  (CAS RN 192-97-2)"))</f>
        <v>Benzo[e]pyrene (CAS RN 192-97-2)</v>
      </c>
      <c r="E148" s="504"/>
      <c r="F148" s="504"/>
      <c r="G148" s="504"/>
      <c r="H148" s="504"/>
      <c r="I148" s="504"/>
      <c r="J148" s="504"/>
      <c r="K148" s="504"/>
      <c r="L148" s="504"/>
      <c r="M148" s="504"/>
      <c r="N148" s="504"/>
      <c r="O148" s="504"/>
      <c r="P148" s="505"/>
      <c r="Q148" s="529"/>
      <c r="R148" s="530"/>
      <c r="S148" s="530"/>
      <c r="T148" s="531"/>
      <c r="U148" s="537"/>
      <c r="V148" s="537"/>
      <c r="W148" s="538"/>
      <c r="X148" s="544"/>
      <c r="Y148" s="545"/>
      <c r="Z148" s="545"/>
      <c r="AA148" s="545"/>
      <c r="AB148" s="546"/>
      <c r="AC148" s="506"/>
      <c r="AD148" s="507"/>
      <c r="AE148" s="508"/>
      <c r="AG148" s="3"/>
    </row>
    <row r="149" spans="3:33" s="238" customFormat="1" ht="25.05" customHeight="1">
      <c r="C149" s="521"/>
      <c r="D149" s="503" t="str">
        <f>IF(C12="English","Benz[a]anthracene (CAS RN 56-55-3)",IF(C12="中文","苯并[a]蒽  (CAS RN 56-55-3)","ベンゾ[a]アントラセン  (CAS RN 56-55-3)"))</f>
        <v>Benz[a]anthracene (CAS RN 56-55-3)</v>
      </c>
      <c r="E149" s="504"/>
      <c r="F149" s="504"/>
      <c r="G149" s="504"/>
      <c r="H149" s="504"/>
      <c r="I149" s="504"/>
      <c r="J149" s="504"/>
      <c r="K149" s="504"/>
      <c r="L149" s="504"/>
      <c r="M149" s="504"/>
      <c r="N149" s="504"/>
      <c r="O149" s="504"/>
      <c r="P149" s="505"/>
      <c r="Q149" s="529"/>
      <c r="R149" s="530"/>
      <c r="S149" s="530"/>
      <c r="T149" s="531"/>
      <c r="U149" s="537"/>
      <c r="V149" s="537"/>
      <c r="W149" s="538"/>
      <c r="X149" s="544"/>
      <c r="Y149" s="545"/>
      <c r="Z149" s="545"/>
      <c r="AA149" s="545"/>
      <c r="AB149" s="546"/>
      <c r="AC149" s="506"/>
      <c r="AD149" s="507"/>
      <c r="AE149" s="508"/>
      <c r="AG149" s="3"/>
    </row>
    <row r="150" spans="3:33" s="238" customFormat="1" ht="25.05" customHeight="1">
      <c r="C150" s="521"/>
      <c r="D150" s="503" t="str">
        <f>IF(C12="English","Chrysene (CAS RN 218-01-9)",IF(C12="中文","屈  (CAS RN 218-01-9)","クリセン  (CAS RN 218-01-9)"))</f>
        <v>Chrysene (CAS RN 218-01-9)</v>
      </c>
      <c r="E150" s="504"/>
      <c r="F150" s="504"/>
      <c r="G150" s="504"/>
      <c r="H150" s="504"/>
      <c r="I150" s="504"/>
      <c r="J150" s="504"/>
      <c r="K150" s="504"/>
      <c r="L150" s="504"/>
      <c r="M150" s="504"/>
      <c r="N150" s="504"/>
      <c r="O150" s="504"/>
      <c r="P150" s="505"/>
      <c r="Q150" s="529"/>
      <c r="R150" s="530"/>
      <c r="S150" s="530"/>
      <c r="T150" s="531"/>
      <c r="U150" s="539"/>
      <c r="V150" s="539"/>
      <c r="W150" s="540"/>
      <c r="X150" s="544"/>
      <c r="Y150" s="545"/>
      <c r="Z150" s="545"/>
      <c r="AA150" s="545"/>
      <c r="AB150" s="546"/>
      <c r="AC150" s="506"/>
      <c r="AD150" s="507"/>
      <c r="AE150" s="508"/>
      <c r="AG150" s="3"/>
    </row>
    <row r="151" spans="3:33" s="238" customFormat="1" ht="25.05" customHeight="1">
      <c r="C151" s="521"/>
      <c r="D151" s="503" t="str">
        <f>IF(C12="English","Benzo[b]fluoranthene (CAS RN 205-99-2)",IF(C12="中文","苯并[b]荧蒽  (CAS RN 205-99-2)","ベンゾ[b]フルオランテン  (CAS RN 205-99-2)"))</f>
        <v>Benzo[b]fluoranthene (CAS RN 205-99-2)</v>
      </c>
      <c r="E151" s="504"/>
      <c r="F151" s="504"/>
      <c r="G151" s="504"/>
      <c r="H151" s="504"/>
      <c r="I151" s="504"/>
      <c r="J151" s="504"/>
      <c r="K151" s="504"/>
      <c r="L151" s="504"/>
      <c r="M151" s="504"/>
      <c r="N151" s="504"/>
      <c r="O151" s="504"/>
      <c r="P151" s="505"/>
      <c r="Q151" s="529"/>
      <c r="R151" s="530"/>
      <c r="S151" s="530"/>
      <c r="T151" s="531"/>
      <c r="U151" s="553" t="str">
        <f>IF(C12="English","Articles other than toys",IF(C12="中文","玩具以外的成形品","玩具以外の成形品"))</f>
        <v>Articles other than toys</v>
      </c>
      <c r="V151" s="553"/>
      <c r="W151" s="554"/>
      <c r="X151" s="557" t="str">
        <f>IF(C12="English","Each substance:
1.0",IF(C12="中文","各成分: 1.0","各成分: 1.0"))</f>
        <v>Each substance:
1.0</v>
      </c>
      <c r="Y151" s="558"/>
      <c r="Z151" s="558"/>
      <c r="AA151" s="558"/>
      <c r="AB151" s="559"/>
      <c r="AC151" s="506"/>
      <c r="AD151" s="507"/>
      <c r="AE151" s="508"/>
      <c r="AG151" s="3"/>
    </row>
    <row r="152" spans="3:33" s="238" customFormat="1" ht="35.1" customHeight="1">
      <c r="C152" s="521"/>
      <c r="D152" s="503" t="str">
        <f>IF(C12="English","Benzo[j]fluoranthene solution  (CAS RN205-82-3)",IF(C12="中文","苯并[j]荧蒽  (CAS RN 205-82-3)","ベンゾ[j]フルオランテン  (CAS RN 205-82-3)"))</f>
        <v>Benzo[j]fluoranthene solution  (CAS RN205-82-3)</v>
      </c>
      <c r="E152" s="504"/>
      <c r="F152" s="504"/>
      <c r="G152" s="504"/>
      <c r="H152" s="504"/>
      <c r="I152" s="504"/>
      <c r="J152" s="504"/>
      <c r="K152" s="504"/>
      <c r="L152" s="504"/>
      <c r="M152" s="504"/>
      <c r="N152" s="504"/>
      <c r="O152" s="504"/>
      <c r="P152" s="505"/>
      <c r="Q152" s="529"/>
      <c r="R152" s="530"/>
      <c r="S152" s="530"/>
      <c r="T152" s="531"/>
      <c r="U152" s="537"/>
      <c r="V152" s="537"/>
      <c r="W152" s="538"/>
      <c r="X152" s="560"/>
      <c r="Y152" s="561"/>
      <c r="Z152" s="561"/>
      <c r="AA152" s="561"/>
      <c r="AB152" s="562"/>
      <c r="AC152" s="506"/>
      <c r="AD152" s="507"/>
      <c r="AE152" s="508"/>
      <c r="AG152" s="3"/>
    </row>
    <row r="153" spans="3:33" s="238" customFormat="1" ht="25.05" customHeight="1">
      <c r="C153" s="521"/>
      <c r="D153" s="503" t="str">
        <f>IF(C12="English","Benzo[k]fluoranthene  (CAS RN 207-08-9)",IF(C12="中文","苯并[k]荧蒽  (CAS RN 207-08-9)","ベンゾ[k]フルオランテン  (CAS RN 207-08-9)"))</f>
        <v>Benzo[k]fluoranthene  (CAS RN 207-08-9)</v>
      </c>
      <c r="E153" s="504"/>
      <c r="F153" s="504"/>
      <c r="G153" s="504"/>
      <c r="H153" s="504"/>
      <c r="I153" s="504"/>
      <c r="J153" s="504"/>
      <c r="K153" s="504"/>
      <c r="L153" s="504"/>
      <c r="M153" s="504"/>
      <c r="N153" s="504"/>
      <c r="O153" s="504"/>
      <c r="P153" s="505"/>
      <c r="Q153" s="529"/>
      <c r="R153" s="530"/>
      <c r="S153" s="530"/>
      <c r="T153" s="531"/>
      <c r="U153" s="537"/>
      <c r="V153" s="537"/>
      <c r="W153" s="538"/>
      <c r="X153" s="560"/>
      <c r="Y153" s="561"/>
      <c r="Z153" s="561"/>
      <c r="AA153" s="561"/>
      <c r="AB153" s="562"/>
      <c r="AC153" s="506"/>
      <c r="AD153" s="507"/>
      <c r="AE153" s="508"/>
      <c r="AG153" s="3"/>
    </row>
    <row r="154" spans="3:33" s="238" customFormat="1" ht="25.05" customHeight="1">
      <c r="C154" s="522"/>
      <c r="D154" s="509" t="str">
        <f>IF(C12="English","Dibenz[a,h]anthracen  (CAS RN 53-70-3)",IF(C12="中文","二苯并[a，h]蒽  (CAS RN 53-70-3)","ジベンゾ[a,h]アントラセン  (CAS RN 53-70-3)"))</f>
        <v>Dibenz[a,h]anthracen  (CAS RN 53-70-3)</v>
      </c>
      <c r="E154" s="510"/>
      <c r="F154" s="510"/>
      <c r="G154" s="510"/>
      <c r="H154" s="510"/>
      <c r="I154" s="510"/>
      <c r="J154" s="510"/>
      <c r="K154" s="510"/>
      <c r="L154" s="510"/>
      <c r="M154" s="510"/>
      <c r="N154" s="510"/>
      <c r="O154" s="510"/>
      <c r="P154" s="511"/>
      <c r="Q154" s="532"/>
      <c r="R154" s="533"/>
      <c r="S154" s="533"/>
      <c r="T154" s="534"/>
      <c r="U154" s="555"/>
      <c r="V154" s="555"/>
      <c r="W154" s="556"/>
      <c r="X154" s="563"/>
      <c r="Y154" s="564"/>
      <c r="Z154" s="564"/>
      <c r="AA154" s="564"/>
      <c r="AB154" s="565"/>
      <c r="AC154" s="506"/>
      <c r="AD154" s="507"/>
      <c r="AE154" s="508"/>
      <c r="AG154" s="3"/>
    </row>
    <row r="155" spans="3:33" ht="30" customHeight="1">
      <c r="C155" s="202">
        <v>37</v>
      </c>
      <c r="D155" s="287" t="str">
        <f>IF(C12="English","Halogenated diphenylmethane（*3）",IF(C12="中文","卤代二苯甲烷（*3）","ハロゲン化ジフェニルメタン（*3）"))</f>
        <v>Halogenated diphenylmethane（*3）</v>
      </c>
      <c r="E155" s="288"/>
      <c r="F155" s="288"/>
      <c r="G155" s="288"/>
      <c r="H155" s="288"/>
      <c r="I155" s="288"/>
      <c r="J155" s="288"/>
      <c r="K155" s="288"/>
      <c r="L155" s="288"/>
      <c r="M155" s="288"/>
      <c r="N155" s="288"/>
      <c r="O155" s="288"/>
      <c r="P155" s="289"/>
      <c r="Q155" s="281" t="str">
        <f>IF(C12="English","All uses",IF(C12="中文","所有用途","全ての用途"))</f>
        <v>All uses</v>
      </c>
      <c r="R155" s="282"/>
      <c r="S155" s="282"/>
      <c r="T155" s="282"/>
      <c r="U155" s="282"/>
      <c r="V155" s="282"/>
      <c r="W155" s="283"/>
      <c r="X155" s="284" t="str">
        <f>IF(C12="English","Intentionally 
added",IF(C12="中文","禁止有意添加","意図的添加禁止"))</f>
        <v>Intentionally 
added</v>
      </c>
      <c r="Y155" s="285"/>
      <c r="Z155" s="285"/>
      <c r="AA155" s="285"/>
      <c r="AB155" s="286"/>
      <c r="AC155" s="245"/>
      <c r="AD155" s="246"/>
      <c r="AE155" s="247"/>
    </row>
    <row r="156" spans="3:33" ht="30" customHeight="1">
      <c r="C156" s="248">
        <v>38</v>
      </c>
      <c r="D156" s="263" t="str">
        <f>IF(C12="English","Benzene
(CAS RN 71-43-2)",IF(C12="中文","苯
(CAS RN 71-43-2) ","ベンゼン
(CAS RN 71-43-2)"))</f>
        <v>Benzene
(CAS RN 71-43-2)</v>
      </c>
      <c r="E156" s="264"/>
      <c r="F156" s="264"/>
      <c r="G156" s="264"/>
      <c r="H156" s="264"/>
      <c r="I156" s="264"/>
      <c r="J156" s="264"/>
      <c r="K156" s="264"/>
      <c r="L156" s="264"/>
      <c r="M156" s="264"/>
      <c r="N156" s="264"/>
      <c r="O156" s="264"/>
      <c r="P156" s="265"/>
      <c r="Q156" s="315" t="str">
        <f>IF(C12="English","Toys or products for children",IF(C12="中文","玩具、儿童产品","玩具、子供向け製品"))</f>
        <v>Toys or products for children</v>
      </c>
      <c r="R156" s="316"/>
      <c r="S156" s="316"/>
      <c r="T156" s="316"/>
      <c r="U156" s="316"/>
      <c r="V156" s="316"/>
      <c r="W156" s="317"/>
      <c r="X156" s="312">
        <v>5</v>
      </c>
      <c r="Y156" s="313"/>
      <c r="Z156" s="313"/>
      <c r="AA156" s="313"/>
      <c r="AB156" s="314"/>
      <c r="AC156" s="251"/>
      <c r="AD156" s="252"/>
      <c r="AE156" s="253"/>
    </row>
    <row r="157" spans="3:33" ht="15" customHeight="1">
      <c r="C157" s="308"/>
      <c r="D157" s="309"/>
      <c r="E157" s="310"/>
      <c r="F157" s="310"/>
      <c r="G157" s="310"/>
      <c r="H157" s="310"/>
      <c r="I157" s="310"/>
      <c r="J157" s="310"/>
      <c r="K157" s="310"/>
      <c r="L157" s="310"/>
      <c r="M157" s="310"/>
      <c r="N157" s="310"/>
      <c r="O157" s="310"/>
      <c r="P157" s="311"/>
      <c r="Q157" s="321" t="str">
        <f>IF(C12="English","Substances or mixture",IF(C12="中文","物质或混合物","物質または混合物"))</f>
        <v>Substances or mixture</v>
      </c>
      <c r="R157" s="322"/>
      <c r="S157" s="322"/>
      <c r="T157" s="322"/>
      <c r="U157" s="322"/>
      <c r="V157" s="322"/>
      <c r="W157" s="323"/>
      <c r="X157" s="318">
        <v>1000</v>
      </c>
      <c r="Y157" s="319"/>
      <c r="Z157" s="319"/>
      <c r="AA157" s="319"/>
      <c r="AB157" s="320"/>
      <c r="AC157" s="254"/>
      <c r="AD157" s="255"/>
      <c r="AE157" s="256"/>
    </row>
    <row r="158" spans="3:33" ht="30" customHeight="1">
      <c r="C158" s="218">
        <v>39</v>
      </c>
      <c r="D158" s="290" t="str">
        <f>IF(C12="English","Tris(1-aziridinyl)phosphine oxide （TAPO）(CAS RN 545-55-1)",IF(C12="中文","三（1-氮丙啶基）氧化膦（TAPO）
(CAS RN 545-55-1)","トリス（1-アジリジニル）ホスフィンオキシド　（TAPO）(CAS RN 545-55-1)"))</f>
        <v>Tris(1-aziridinyl)phosphine oxide （TAPO）(CAS RN 545-55-1)</v>
      </c>
      <c r="E158" s="291"/>
      <c r="F158" s="291"/>
      <c r="G158" s="291"/>
      <c r="H158" s="291"/>
      <c r="I158" s="291"/>
      <c r="J158" s="291"/>
      <c r="K158" s="291"/>
      <c r="L158" s="291"/>
      <c r="M158" s="291"/>
      <c r="N158" s="291"/>
      <c r="O158" s="291"/>
      <c r="P158" s="292"/>
      <c r="Q158" s="278" t="str">
        <f>IF(C12="English","Textile products in contact with human skin directly",IF(C12="中文","直接接触皮肤的纤维产品","直接皮膚に触れる繊維製品"))</f>
        <v>Textile products in contact with human skin directly</v>
      </c>
      <c r="R158" s="279"/>
      <c r="S158" s="279"/>
      <c r="T158" s="279"/>
      <c r="U158" s="279"/>
      <c r="V158" s="279"/>
      <c r="W158" s="280"/>
      <c r="X158" s="284" t="str">
        <f>IF(C12="English","Intentionally 
added",IF(C12="中文","禁止有意添加","意図的添加禁止"))</f>
        <v>Intentionally 
added</v>
      </c>
      <c r="Y158" s="285"/>
      <c r="Z158" s="285"/>
      <c r="AA158" s="285"/>
      <c r="AB158" s="286"/>
      <c r="AC158" s="245"/>
      <c r="AD158" s="246"/>
      <c r="AE158" s="247"/>
    </row>
    <row r="159" spans="3:33" ht="30" customHeight="1">
      <c r="C159" s="218">
        <v>40</v>
      </c>
      <c r="D159" s="290" t="str">
        <f>IF(C12="English","Tris(2,3-dibromopropyl) phosphate (TBPP)   (CAS RN 126-72-7)",IF(C12="中文","三（2,3-二溴丙基）磷酸酯（TBPP）
(CAS RN 126-72-7)","リン酸トリス（2,3－ジブロモプロピル）（TBPP）(CAS RN 126-72-7)"))</f>
        <v>Tris(2,3-dibromopropyl) phosphate (TBPP)   (CAS RN 126-72-7)</v>
      </c>
      <c r="E159" s="291"/>
      <c r="F159" s="291"/>
      <c r="G159" s="291"/>
      <c r="H159" s="291"/>
      <c r="I159" s="291"/>
      <c r="J159" s="291"/>
      <c r="K159" s="291"/>
      <c r="L159" s="291"/>
      <c r="M159" s="291"/>
      <c r="N159" s="291"/>
      <c r="O159" s="291"/>
      <c r="P159" s="292"/>
      <c r="Q159" s="278" t="str">
        <f>IF(C12="English","Textile products in contact with human skin directly",IF(C12="中文","直接接触皮肤的纤维产品","直接皮膚に触れる繊維製品"))</f>
        <v>Textile products in contact with human skin directly</v>
      </c>
      <c r="R159" s="279"/>
      <c r="S159" s="279"/>
      <c r="T159" s="279"/>
      <c r="U159" s="279"/>
      <c r="V159" s="279"/>
      <c r="W159" s="280"/>
      <c r="X159" s="284" t="str">
        <f>IF(C12="English","Intentionally 
added",IF(C12="中文","禁止有意添加","意図的添加禁止"))</f>
        <v>Intentionally 
added</v>
      </c>
      <c r="Y159" s="285"/>
      <c r="Z159" s="285"/>
      <c r="AA159" s="285"/>
      <c r="AB159" s="286"/>
      <c r="AC159" s="245"/>
      <c r="AD159" s="246"/>
      <c r="AE159" s="247"/>
    </row>
    <row r="160" spans="3:33" ht="45" customHeight="1">
      <c r="C160" s="218">
        <v>41</v>
      </c>
      <c r="D160" s="290" t="str">
        <f>IF(C12="English","Perchlorates",IF(C12="中文","高氯酸盐","過塩素酸塩"))</f>
        <v>Perchlorates</v>
      </c>
      <c r="E160" s="291"/>
      <c r="F160" s="291"/>
      <c r="G160" s="291"/>
      <c r="H160" s="291"/>
      <c r="I160" s="291"/>
      <c r="J160" s="291"/>
      <c r="K160" s="291"/>
      <c r="L160" s="291"/>
      <c r="M160" s="291"/>
      <c r="N160" s="291"/>
      <c r="O160" s="291"/>
      <c r="P160" s="292"/>
      <c r="Q160" s="290" t="str">
        <f>IF(C12="English","All uses except for Manganese Dioxide Lithium Batteries ",IF(C12="中文","二氧化锰锂电池除外的所有用途","二酸化マンガンリチウム電池を除く 全ての用途"))</f>
        <v xml:space="preserve">All uses except for Manganese Dioxide Lithium Batteries </v>
      </c>
      <c r="R160" s="291"/>
      <c r="S160" s="291"/>
      <c r="T160" s="291"/>
      <c r="U160" s="291"/>
      <c r="V160" s="291"/>
      <c r="W160" s="292"/>
      <c r="X160" s="284" t="str">
        <f>IF(C12="English","0.006ppm of parts",IF(C12="中文","产品的 0.006","製品の 0.006"))</f>
        <v>0.006ppm of parts</v>
      </c>
      <c r="Y160" s="285"/>
      <c r="Z160" s="285"/>
      <c r="AA160" s="285"/>
      <c r="AB160" s="286"/>
      <c r="AC160" s="245"/>
      <c r="AD160" s="246"/>
      <c r="AE160" s="247"/>
    </row>
    <row r="161" spans="3:33" ht="30" customHeight="1">
      <c r="C161" s="212">
        <v>42</v>
      </c>
      <c r="D161" s="290" t="str">
        <f>IF(C12="English","2,4,6-Tri-tert-butylphenol  
(CAS RN 732-26-3)",IF(C12="中文","2,4,6-三-叔-丁基苯酚
(CAS RN 732-26-3)","2,4,6-トリ-ターシャリ-ブチルフェノール
(CAS RN 732-26-3)"))</f>
        <v>2,4,6-Tri-tert-butylphenol  
(CAS RN 732-26-3)</v>
      </c>
      <c r="E161" s="291"/>
      <c r="F161" s="291"/>
      <c r="G161" s="291"/>
      <c r="H161" s="291"/>
      <c r="I161" s="291"/>
      <c r="J161" s="291"/>
      <c r="K161" s="291"/>
      <c r="L161" s="291"/>
      <c r="M161" s="291"/>
      <c r="N161" s="291"/>
      <c r="O161" s="291"/>
      <c r="P161" s="292"/>
      <c r="Q161" s="281" t="str">
        <f>IF(C12="English","All uses",IF(C12="中文","所有用途","全ての用途"))</f>
        <v>All uses</v>
      </c>
      <c r="R161" s="282"/>
      <c r="S161" s="282"/>
      <c r="T161" s="282"/>
      <c r="U161" s="282"/>
      <c r="V161" s="282"/>
      <c r="W161" s="283"/>
      <c r="X161" s="284" t="str">
        <f>IF(C12="English","Intentionally 
added",IF(C12="中文","禁止有意添加","意図的添加禁止"))</f>
        <v>Intentionally 
added</v>
      </c>
      <c r="Y161" s="285"/>
      <c r="Z161" s="285"/>
      <c r="AA161" s="285"/>
      <c r="AB161" s="286"/>
      <c r="AC161" s="245"/>
      <c r="AD161" s="246"/>
      <c r="AE161" s="247"/>
    </row>
    <row r="162" spans="3:33" ht="70.05" customHeight="1">
      <c r="C162" s="202">
        <v>43</v>
      </c>
      <c r="D162" s="290" t="str">
        <f>IF(C12="English","Hg, Cd, Cr(VI), Pb, Phthalate esters 4 substances (DEHP, DBP, BBP, DIBP)",IF(C12="中文","汞、镉、六价铬、铅、邻苯二甲酸酯4物质(DEHP, DBP, BBP, DIBP)","水銀、カドミウム、六価クロム、鉛、フタル酸エステル4物質(DEHP, DBP, BBP, DIBP)"))</f>
        <v>Hg, Cd, Cr(VI), Pb, Phthalate esters 4 substances (DEHP, DBP, BBP, DIBP)</v>
      </c>
      <c r="E162" s="291"/>
      <c r="F162" s="291"/>
      <c r="G162" s="291"/>
      <c r="H162" s="291"/>
      <c r="I162" s="291"/>
      <c r="J162" s="291"/>
      <c r="K162" s="291"/>
      <c r="L162" s="291"/>
      <c r="M162" s="291"/>
      <c r="N162" s="291"/>
      <c r="O162" s="291"/>
      <c r="P162" s="292"/>
      <c r="Q162" s="290" t="str">
        <f>IF(C12="English","Packing/Packaging material to be used by Minebeamitsumi Group to ship products ",IF(C12="中文","用于美蓓亚三美集团产品出货使用的包装、捆包材","ミネベアミツミグループが製品出荷に使用する 包装・梱包材"))</f>
        <v xml:space="preserve">Packing/Packaging material to be used by Minebeamitsumi Group to ship products </v>
      </c>
      <c r="R162" s="291"/>
      <c r="S162" s="291"/>
      <c r="T162" s="291"/>
      <c r="U162" s="291"/>
      <c r="V162" s="291"/>
      <c r="W162" s="292"/>
      <c r="X162" s="302" t="str">
        <f>IF(C12="English","Hg, Cd, Cr(VI), Pb
in total ; 100
Phthalate esters
in total ; 1,000",IF(C12="中文","镉、铅、六价铬、水银合计:100  邻苯二甲酸酯合计:1000","水銀、カドミウム、六価クロム、鉛：合計:100  フタル酸エステル：合計:1000"))</f>
        <v>Hg, Cd, Cr(VI), Pb
in total ; 100
Phthalate esters
in total ; 1,000</v>
      </c>
      <c r="Y162" s="303"/>
      <c r="Z162" s="303"/>
      <c r="AA162" s="303"/>
      <c r="AB162" s="304"/>
      <c r="AC162" s="245"/>
      <c r="AD162" s="246"/>
      <c r="AE162" s="247"/>
    </row>
    <row r="163" spans="3:33" ht="30" customHeight="1">
      <c r="C163" s="212">
        <v>44</v>
      </c>
      <c r="D163" s="290" t="str">
        <f>IF(C12="English","Pentachlorothiophenol (PCTP)
(CAS RN 133-49-3)",IF(C12="中文","五氯苯硫酚(PCTP)
(CAS RN 133-49-3)","ペンタクロロチオフェノール (PCTP)
(CAS RN 133-49-3)"))</f>
        <v>Pentachlorothiophenol (PCTP)
(CAS RN 133-49-3)</v>
      </c>
      <c r="E163" s="291"/>
      <c r="F163" s="291"/>
      <c r="G163" s="291"/>
      <c r="H163" s="291"/>
      <c r="I163" s="291"/>
      <c r="J163" s="291"/>
      <c r="K163" s="291"/>
      <c r="L163" s="291"/>
      <c r="M163" s="291"/>
      <c r="N163" s="291"/>
      <c r="O163" s="291"/>
      <c r="P163" s="292"/>
      <c r="Q163" s="281" t="str">
        <f>IF(C12="English","All uses",IF(C12="中文","所有用途","全ての用途"))</f>
        <v>All uses</v>
      </c>
      <c r="R163" s="282"/>
      <c r="S163" s="282"/>
      <c r="T163" s="282"/>
      <c r="U163" s="282"/>
      <c r="V163" s="282"/>
      <c r="W163" s="283"/>
      <c r="X163" s="307">
        <v>0.01</v>
      </c>
      <c r="Y163" s="285"/>
      <c r="Z163" s="285"/>
      <c r="AA163" s="285"/>
      <c r="AB163" s="286"/>
      <c r="AC163" s="245"/>
      <c r="AD163" s="246"/>
      <c r="AE163" s="247"/>
    </row>
    <row r="164" spans="3:33" ht="30" customHeight="1">
      <c r="C164" s="212">
        <v>45</v>
      </c>
      <c r="D164" s="290" t="str">
        <f>IF(C12="English","Hexachlorobutadiene (HCBD)
(CAS RN 87-68-3)",IF(C12="中文","六氯丁二烯 (HCBD)
(CAS RN 87-68-3)","ヘキサクロロブタジエン (HCBD)
(CAS RN 87-68-3)"))</f>
        <v>Hexachlorobutadiene (HCBD)
(CAS RN 87-68-3)</v>
      </c>
      <c r="E164" s="291"/>
      <c r="F164" s="291"/>
      <c r="G164" s="291"/>
      <c r="H164" s="291"/>
      <c r="I164" s="291"/>
      <c r="J164" s="291"/>
      <c r="K164" s="291"/>
      <c r="L164" s="291"/>
      <c r="M164" s="291"/>
      <c r="N164" s="291"/>
      <c r="O164" s="291"/>
      <c r="P164" s="292"/>
      <c r="Q164" s="281" t="str">
        <f>IF(C12="English","All uses",IF(C12="中文","所有用途","全ての用途"))</f>
        <v>All uses</v>
      </c>
      <c r="R164" s="282"/>
      <c r="S164" s="282"/>
      <c r="T164" s="282"/>
      <c r="U164" s="282"/>
      <c r="V164" s="282"/>
      <c r="W164" s="283"/>
      <c r="X164" s="284" t="str">
        <f>IF(C12="English","Intentionally 
added",IF(C12="中文","禁止有意添加","意図的添加禁止"))</f>
        <v>Intentionally 
added</v>
      </c>
      <c r="Y164" s="285"/>
      <c r="Z164" s="285"/>
      <c r="AA164" s="285"/>
      <c r="AB164" s="286"/>
      <c r="AC164" s="245"/>
      <c r="AD164" s="246"/>
      <c r="AE164" s="247"/>
    </row>
    <row r="165" spans="3:33" ht="30" customHeight="1">
      <c r="C165" s="212">
        <v>46</v>
      </c>
      <c r="D165" s="290" t="str">
        <f>IF(C12="English","Phenol, isopropylated　phosphate (PIP(3:1))(CAS RN 68937-41-7)",IF(C12="中文","异丙基化磷酸三苯酯 (PIP(3:1))(CAS RN 68937-41-7)","リン酸トリアリールイソプロピル化合物 (PIP(3:1))(CAS RN 68937-41-7)"))</f>
        <v>Phenol, isopropylated　phosphate (PIP(3:1))(CAS RN 68937-41-7)</v>
      </c>
      <c r="E165" s="291"/>
      <c r="F165" s="291"/>
      <c r="G165" s="291"/>
      <c r="H165" s="291"/>
      <c r="I165" s="291"/>
      <c r="J165" s="291"/>
      <c r="K165" s="291"/>
      <c r="L165" s="291"/>
      <c r="M165" s="291"/>
      <c r="N165" s="291"/>
      <c r="O165" s="291"/>
      <c r="P165" s="292"/>
      <c r="Q165" s="281" t="str">
        <f>IF(C12="English","All uses",IF(C12="中文","所有用途","全ての用途"))</f>
        <v>All uses</v>
      </c>
      <c r="R165" s="282"/>
      <c r="S165" s="282"/>
      <c r="T165" s="282"/>
      <c r="U165" s="282"/>
      <c r="V165" s="282"/>
      <c r="W165" s="283"/>
      <c r="X165" s="284" t="str">
        <f>IF(C12="English","Intentionally 
added",IF(C12="中文","禁止有意添加","意図的添加禁止"))</f>
        <v>Intentionally 
added</v>
      </c>
      <c r="Y165" s="285"/>
      <c r="Z165" s="285"/>
      <c r="AA165" s="285"/>
      <c r="AB165" s="286"/>
      <c r="AC165" s="245"/>
      <c r="AD165" s="246"/>
      <c r="AE165" s="247"/>
    </row>
    <row r="166" spans="3:33" ht="80.099999999999994" customHeight="1">
      <c r="C166" s="212">
        <v>47</v>
      </c>
      <c r="D166" s="290" t="str">
        <f>IF(C12="English","Perfluorohexane sulfonates (PFHxS) and its salts and PFHxS-related substances
（*4）",IF(C12="中文","全氟己基磺酸(PFHxS)及其盐和相关物质
（*4）","パーフルオロヘキサンスルホン酸（PFHxS）とその塩および関連物質
（*4）"))</f>
        <v>Perfluorohexane sulfonates (PFHxS) and its salts and PFHxS-related substances
（*4）</v>
      </c>
      <c r="E166" s="291"/>
      <c r="F166" s="291"/>
      <c r="G166" s="291"/>
      <c r="H166" s="291"/>
      <c r="I166" s="291"/>
      <c r="J166" s="291"/>
      <c r="K166" s="291"/>
      <c r="L166" s="291"/>
      <c r="M166" s="291"/>
      <c r="N166" s="291"/>
      <c r="O166" s="291"/>
      <c r="P166" s="292"/>
      <c r="Q166" s="290" t="str">
        <f>IF(C12="English","All uses",IF(C12="中文","所有用途","全ての用途"))</f>
        <v>All uses</v>
      </c>
      <c r="R166" s="291"/>
      <c r="S166" s="291"/>
      <c r="T166" s="291"/>
      <c r="U166" s="291"/>
      <c r="V166" s="291"/>
      <c r="W166" s="292"/>
      <c r="X166" s="302" t="str">
        <f>IF(C12="English","PFHxS and
its salts in total : 25ppb
PFHxS-related substances
In total :1000ppb",IF(C12="中文","PFHx及其盐的含量:25ppb
PFHxS关连物质
合计:1,000 ppb
","PFHxSと
その塩の合計：25ppb
PFHxS関連物質
合計：1,000 ppb"))</f>
        <v>PFHxS and
its salts in total : 25ppb
PFHxS-related substances
In total :1000ppb</v>
      </c>
      <c r="Y166" s="303"/>
      <c r="Z166" s="303"/>
      <c r="AA166" s="303"/>
      <c r="AB166" s="304"/>
      <c r="AC166" s="245"/>
      <c r="AD166" s="246"/>
      <c r="AE166" s="247"/>
    </row>
    <row r="167" spans="3:33" ht="30" customHeight="1">
      <c r="C167" s="212">
        <v>48</v>
      </c>
      <c r="D167" s="290" t="str">
        <f>IF(C12="English","Methylene Chloride
(CAS RN 75-09-2)",IF(C12="中文","二氯甲烷
(CAS RN 75-09-2)","ジクロロメタン
(CAS RN 75-09-2)"))</f>
        <v>Methylene Chloride
(CAS RN 75-09-2)</v>
      </c>
      <c r="E167" s="291"/>
      <c r="F167" s="291"/>
      <c r="G167" s="291"/>
      <c r="H167" s="291"/>
      <c r="I167" s="291"/>
      <c r="J167" s="291"/>
      <c r="K167" s="291"/>
      <c r="L167" s="291"/>
      <c r="M167" s="291"/>
      <c r="N167" s="291"/>
      <c r="O167" s="291"/>
      <c r="P167" s="292"/>
      <c r="Q167" s="281" t="str">
        <f>IF(C12="English","All uses",IF(C12="中文","所有用途","全ての用途"))</f>
        <v>All uses</v>
      </c>
      <c r="R167" s="282"/>
      <c r="S167" s="282"/>
      <c r="T167" s="282"/>
      <c r="U167" s="282"/>
      <c r="V167" s="282"/>
      <c r="W167" s="283"/>
      <c r="X167" s="284" t="str">
        <f>IF(C12="English","Intentionally 
added",IF(C12="中文","禁止有意添加","意図的添加禁止"))</f>
        <v>Intentionally 
added</v>
      </c>
      <c r="Y167" s="285"/>
      <c r="Z167" s="285"/>
      <c r="AA167" s="285"/>
      <c r="AB167" s="286"/>
      <c r="AC167" s="245"/>
      <c r="AD167" s="246"/>
      <c r="AE167" s="247"/>
    </row>
    <row r="168" spans="3:33" ht="30" customHeight="1">
      <c r="C168" s="212">
        <v>49</v>
      </c>
      <c r="D168" s="290" t="str">
        <f>IF(C12="English","1-Bromopropane 
(CAS RN 106-94-5)",IF(C12="中文","1-溴丙烷
(CAS RN 106-94-5)","1-ブロモプロパン
(CAS RN 106-94-5)"))</f>
        <v>1-Bromopropane 
(CAS RN 106-94-5)</v>
      </c>
      <c r="E168" s="291"/>
      <c r="F168" s="291"/>
      <c r="G168" s="291"/>
      <c r="H168" s="291"/>
      <c r="I168" s="291"/>
      <c r="J168" s="291"/>
      <c r="K168" s="291"/>
      <c r="L168" s="291"/>
      <c r="M168" s="291"/>
      <c r="N168" s="291"/>
      <c r="O168" s="291"/>
      <c r="P168" s="292"/>
      <c r="Q168" s="281" t="str">
        <f>IF(C12="English","All uses",IF(C12="中文","所有用途","全ての用途"))</f>
        <v>All uses</v>
      </c>
      <c r="R168" s="282"/>
      <c r="S168" s="282"/>
      <c r="T168" s="282"/>
      <c r="U168" s="282"/>
      <c r="V168" s="282"/>
      <c r="W168" s="283"/>
      <c r="X168" s="284" t="str">
        <f>IF(C12="English","Intentionally 
added",IF(C12="中文","禁止有意添加","意図的添加禁止"))</f>
        <v>Intentionally 
added</v>
      </c>
      <c r="Y168" s="285"/>
      <c r="Z168" s="285"/>
      <c r="AA168" s="285"/>
      <c r="AB168" s="286"/>
      <c r="AC168" s="245"/>
      <c r="AD168" s="246"/>
      <c r="AE168" s="247"/>
    </row>
    <row r="169" spans="3:33" ht="30" customHeight="1">
      <c r="C169" s="212">
        <v>50</v>
      </c>
      <c r="D169" s="290" t="str">
        <f>IF(C12="English","Carbon Tetrachloride
(CAS RN 56-23-5)",IF(C12="中文","四氯化碳
(CAS RN 56-23-5)","四塩化炭素
(CAS RN 56-23-5)"))</f>
        <v>Carbon Tetrachloride
(CAS RN 56-23-5)</v>
      </c>
      <c r="E169" s="291"/>
      <c r="F169" s="291"/>
      <c r="G169" s="291"/>
      <c r="H169" s="291"/>
      <c r="I169" s="291"/>
      <c r="J169" s="291"/>
      <c r="K169" s="291"/>
      <c r="L169" s="291"/>
      <c r="M169" s="291"/>
      <c r="N169" s="291"/>
      <c r="O169" s="291"/>
      <c r="P169" s="292"/>
      <c r="Q169" s="281" t="str">
        <f>IF(C12="English","All uses",IF(C12="中文","所有用途","全ての用途"))</f>
        <v>All uses</v>
      </c>
      <c r="R169" s="282"/>
      <c r="S169" s="282"/>
      <c r="T169" s="282"/>
      <c r="U169" s="282"/>
      <c r="V169" s="282"/>
      <c r="W169" s="283"/>
      <c r="X169" s="284" t="str">
        <f>IF(C12="English","Intentionally 
added",IF(C12="中文","禁止有意添加","意図的添加禁止"))</f>
        <v>Intentionally 
added</v>
      </c>
      <c r="Y169" s="285"/>
      <c r="Z169" s="285"/>
      <c r="AA169" s="285"/>
      <c r="AB169" s="286"/>
      <c r="AC169" s="245"/>
      <c r="AD169" s="246"/>
      <c r="AE169" s="247"/>
    </row>
    <row r="170" spans="3:33" ht="30" customHeight="1">
      <c r="C170" s="212">
        <v>51</v>
      </c>
      <c r="D170" s="290" t="str">
        <f>IF(C12="English","1,4-dioxane
(CAS RN 123-91-1)",IF(C12="中文","1,4-二氧六环
(CAS RN 123-91-1)","1,4-ジオキサン
(CAS RN 123-91-1)"))</f>
        <v>1,4-dioxane
(CAS RN 123-91-1)</v>
      </c>
      <c r="E170" s="291"/>
      <c r="F170" s="291"/>
      <c r="G170" s="291"/>
      <c r="H170" s="291"/>
      <c r="I170" s="291"/>
      <c r="J170" s="291"/>
      <c r="K170" s="291"/>
      <c r="L170" s="291"/>
      <c r="M170" s="291"/>
      <c r="N170" s="291"/>
      <c r="O170" s="291"/>
      <c r="P170" s="292"/>
      <c r="Q170" s="281" t="str">
        <f>IF(C12="English","All uses",IF(C12="中文","所有用途","全ての用途"))</f>
        <v>All uses</v>
      </c>
      <c r="R170" s="282"/>
      <c r="S170" s="282"/>
      <c r="T170" s="282"/>
      <c r="U170" s="282"/>
      <c r="V170" s="282"/>
      <c r="W170" s="283"/>
      <c r="X170" s="284" t="str">
        <f>IF(C12="English","Intentionally 
added",IF(C12="中文","禁止有意添加","意図的添加禁止"))</f>
        <v>Intentionally 
added</v>
      </c>
      <c r="Y170" s="285"/>
      <c r="Z170" s="285"/>
      <c r="AA170" s="285"/>
      <c r="AB170" s="286"/>
      <c r="AC170" s="245"/>
      <c r="AD170" s="246"/>
      <c r="AE170" s="247"/>
    </row>
    <row r="171" spans="3:33" ht="30" customHeight="1">
      <c r="C171" s="202">
        <v>52</v>
      </c>
      <c r="D171" s="290" t="str">
        <f>IF(C12="English","N-Methylpyrrolidone (NMP)
(CAS RN 872-50-4)",IF(C12="中文","N-甲基-2-吡咯烷酮(NMP)
(CAS RN 872-50-4)","N-メチル-2-ピロリドン (NMP)
(CAS RN 872-50-4)"))</f>
        <v>N-Methylpyrrolidone (NMP)
(CAS RN 872-50-4)</v>
      </c>
      <c r="E171" s="291"/>
      <c r="F171" s="291"/>
      <c r="G171" s="291"/>
      <c r="H171" s="291"/>
      <c r="I171" s="291"/>
      <c r="J171" s="291"/>
      <c r="K171" s="291"/>
      <c r="L171" s="291"/>
      <c r="M171" s="291"/>
      <c r="N171" s="291"/>
      <c r="O171" s="291"/>
      <c r="P171" s="292"/>
      <c r="Q171" s="281" t="str">
        <f>IF(C12="English","All uses",IF(C12="中文","所有用途","全ての用途"))</f>
        <v>All uses</v>
      </c>
      <c r="R171" s="282"/>
      <c r="S171" s="282"/>
      <c r="T171" s="282"/>
      <c r="U171" s="282"/>
      <c r="V171" s="282"/>
      <c r="W171" s="283"/>
      <c r="X171" s="284" t="str">
        <f>IF(C12="English","Intentionally 
added",IF(C12="中文","禁止有意添加","意図的添加禁止"))</f>
        <v>Intentionally 
added</v>
      </c>
      <c r="Y171" s="285"/>
      <c r="Z171" s="285"/>
      <c r="AA171" s="285"/>
      <c r="AB171" s="286"/>
      <c r="AC171" s="245"/>
      <c r="AD171" s="246"/>
      <c r="AE171" s="247"/>
    </row>
    <row r="172" spans="3:33" ht="27" customHeight="1">
      <c r="C172" s="212">
        <v>53</v>
      </c>
      <c r="D172" s="278" t="str">
        <f>IF(C12="English","Perchloroethylene
(CAS RN 127-18-4)",IF(C12="中文","四氯乙烯
(CAS RN 127-18-4)","テトラクロロエチレン
(CAS RN 127-18-4)"))</f>
        <v>Perchloroethylene
(CAS RN 127-18-4)</v>
      </c>
      <c r="E172" s="279"/>
      <c r="F172" s="279"/>
      <c r="G172" s="279"/>
      <c r="H172" s="279"/>
      <c r="I172" s="279"/>
      <c r="J172" s="279"/>
      <c r="K172" s="279"/>
      <c r="L172" s="279"/>
      <c r="M172" s="279"/>
      <c r="N172" s="279"/>
      <c r="O172" s="279"/>
      <c r="P172" s="280"/>
      <c r="Q172" s="281" t="str">
        <f>IF(C12="English","All uses",IF(C12="中文","所有用途","全ての用途"))</f>
        <v>All uses</v>
      </c>
      <c r="R172" s="282"/>
      <c r="S172" s="282"/>
      <c r="T172" s="282"/>
      <c r="U172" s="282"/>
      <c r="V172" s="282"/>
      <c r="W172" s="283"/>
      <c r="X172" s="284" t="str">
        <f>IF(C12="English","Intentionally 
added",IF(C12="中文","禁止有意添加","意図的添加禁止"))</f>
        <v>Intentionally 
added</v>
      </c>
      <c r="Y172" s="285"/>
      <c r="Z172" s="285"/>
      <c r="AA172" s="285"/>
      <c r="AB172" s="286"/>
      <c r="AC172" s="245"/>
      <c r="AD172" s="246"/>
      <c r="AE172" s="247"/>
    </row>
    <row r="173" spans="3:33" ht="27" customHeight="1">
      <c r="C173" s="202">
        <v>54</v>
      </c>
      <c r="D173" s="278" t="str">
        <f>IF(C12="English","Pigment Violet 29
(CAS RN 81-33-4)",IF(C12="中文","苝艳紫红29
(CAS RN 81-33-4)","ピグメントバイオレット29
(CAS RN 81-33-4)"))</f>
        <v>Pigment Violet 29
(CAS RN 81-33-4)</v>
      </c>
      <c r="E173" s="279"/>
      <c r="F173" s="279"/>
      <c r="G173" s="279"/>
      <c r="H173" s="279"/>
      <c r="I173" s="279"/>
      <c r="J173" s="279"/>
      <c r="K173" s="279"/>
      <c r="L173" s="279"/>
      <c r="M173" s="279"/>
      <c r="N173" s="279"/>
      <c r="O173" s="279"/>
      <c r="P173" s="280"/>
      <c r="Q173" s="281" t="str">
        <f>IF(C12="English","All uses",IF(C12="中文","所有用途","全ての用途"))</f>
        <v>All uses</v>
      </c>
      <c r="R173" s="282"/>
      <c r="S173" s="282"/>
      <c r="T173" s="282"/>
      <c r="U173" s="282"/>
      <c r="V173" s="282"/>
      <c r="W173" s="283"/>
      <c r="X173" s="284" t="str">
        <f>IF(C12="English","Intentionally 
added",IF(C12="中文","禁止有意添加","意図的添加禁止"))</f>
        <v>Intentionally 
added</v>
      </c>
      <c r="Y173" s="285"/>
      <c r="Z173" s="285"/>
      <c r="AA173" s="285"/>
      <c r="AB173" s="286"/>
      <c r="AC173" s="245"/>
      <c r="AD173" s="246"/>
      <c r="AE173" s="247"/>
    </row>
    <row r="174" spans="3:33" ht="27" customHeight="1">
      <c r="C174" s="212">
        <v>55</v>
      </c>
      <c r="D174" s="278" t="str">
        <f>IF(C12="English","Trichloroethylene (TCE)
(CAS RN 79-01-6)",IF(C12="中文","三氯乙烯 (TCE)
(CAS RN 79-01-6)","トリクロロエチレン (TCE)
(CAS RN 79-01-6)"))</f>
        <v>Trichloroethylene (TCE)
(CAS RN 79-01-6)</v>
      </c>
      <c r="E174" s="279"/>
      <c r="F174" s="279"/>
      <c r="G174" s="279"/>
      <c r="H174" s="279"/>
      <c r="I174" s="279"/>
      <c r="J174" s="279"/>
      <c r="K174" s="279"/>
      <c r="L174" s="279"/>
      <c r="M174" s="279"/>
      <c r="N174" s="279"/>
      <c r="O174" s="279"/>
      <c r="P174" s="280"/>
      <c r="Q174" s="281" t="str">
        <f>IF(C12="English","All uses",IF(C12="中文","所有用途","全ての用途"))</f>
        <v>All uses</v>
      </c>
      <c r="R174" s="282"/>
      <c r="S174" s="282"/>
      <c r="T174" s="282"/>
      <c r="U174" s="282"/>
      <c r="V174" s="282"/>
      <c r="W174" s="283"/>
      <c r="X174" s="284" t="str">
        <f>IF(C12="English","Intentionally 
added",IF(C12="中文","禁止有意添加","意図的添加禁止"))</f>
        <v>Intentionally 
added</v>
      </c>
      <c r="Y174" s="285"/>
      <c r="Z174" s="285"/>
      <c r="AA174" s="285"/>
      <c r="AB174" s="286"/>
      <c r="AC174" s="245"/>
      <c r="AD174" s="246"/>
      <c r="AE174" s="247"/>
    </row>
    <row r="175" spans="3:33" s="201" customFormat="1" ht="85.05" customHeight="1">
      <c r="C175" s="212">
        <v>56</v>
      </c>
      <c r="D175" s="278" t="str">
        <f>IF(C12="English","Perfluorocarboxylic acids (PFCA) C9-C14 and their salts and  (PFCA) C9-C14-related substances
（*5）",IF(C12="中文","全氟羧酸(PFCA) C9-C14及其盐及相关物质
（*5）","パーフルオロカルボン酸 (PFCA) C9-C14とその塩および関連物質
（*5）"))</f>
        <v>Perfluorocarboxylic acids (PFCA) C9-C14 and their salts and  (PFCA) C9-C14-related substances
（*5）</v>
      </c>
      <c r="E175" s="279"/>
      <c r="F175" s="279"/>
      <c r="G175" s="279"/>
      <c r="H175" s="279"/>
      <c r="I175" s="279"/>
      <c r="J175" s="279"/>
      <c r="K175" s="279"/>
      <c r="L175" s="279"/>
      <c r="M175" s="279"/>
      <c r="N175" s="279"/>
      <c r="O175" s="279"/>
      <c r="P175" s="280"/>
      <c r="Q175" s="281" t="str">
        <f>IF(C12="English","All uses",IF(C12="中文","所有用途","全ての用途"))</f>
        <v>All uses</v>
      </c>
      <c r="R175" s="282"/>
      <c r="S175" s="282"/>
      <c r="T175" s="282"/>
      <c r="U175" s="282"/>
      <c r="V175" s="282"/>
      <c r="W175" s="283"/>
      <c r="X175" s="302" t="str">
        <f>IF(C12="English","(PFCA) C9-C14 and its salts in total : 25ppb
(PFCA) C9-C14-related substances  
In total : 260ppb",IF(C12="中文","PFCA(C9-C14)及其盐合计：25ppb
PFCA(C9-C14)关连物质
合计：260ppb","PFCA(C9-C14)と
その塩の合計：25ppb
PFCA(C9-C14)関連物質
合計：260ppb"))</f>
        <v>(PFCA) C9-C14 and its salts in total : 25ppb
(PFCA) C9-C14-related substances  
In total : 260ppb</v>
      </c>
      <c r="Y175" s="303"/>
      <c r="Z175" s="303"/>
      <c r="AA175" s="303"/>
      <c r="AB175" s="304"/>
      <c r="AC175" s="245"/>
      <c r="AD175" s="246"/>
      <c r="AE175" s="247"/>
      <c r="AG175" s="3"/>
    </row>
    <row r="176" spans="3:33" s="240" customFormat="1" ht="32.1" customHeight="1">
      <c r="C176" s="241">
        <v>57</v>
      </c>
      <c r="D176" s="278" t="str">
        <f>IF(C12="English","Hexachlorobenzene(HCB)
(CAS RN 118-74-1)",IF(C12="中文","六氯苯
(CAS RN 118-74-1)","ヘキサクロロベンゼン
(CAS RN 118-74-1)"))</f>
        <v>Hexachlorobenzene(HCB)
(CAS RN 118-74-1)</v>
      </c>
      <c r="E176" s="279"/>
      <c r="F176" s="279"/>
      <c r="G176" s="279"/>
      <c r="H176" s="279"/>
      <c r="I176" s="279"/>
      <c r="J176" s="279"/>
      <c r="K176" s="279"/>
      <c r="L176" s="279"/>
      <c r="M176" s="279"/>
      <c r="N176" s="279"/>
      <c r="O176" s="279"/>
      <c r="P176" s="280"/>
      <c r="Q176" s="281" t="str">
        <f>IF(C12="English","All uses",IF(C12="中文","所有用途","全ての用途"))</f>
        <v>All uses</v>
      </c>
      <c r="R176" s="282"/>
      <c r="S176" s="282"/>
      <c r="T176" s="282"/>
      <c r="U176" s="282"/>
      <c r="V176" s="282"/>
      <c r="W176" s="283"/>
      <c r="X176" s="284" t="str">
        <f>IF(C12="English","Intentionally added or 10",IF(C12="中文","禁止有意添加
且　10","意図的添加禁止
且つ 10"))</f>
        <v>Intentionally added or 10</v>
      </c>
      <c r="Y176" s="285"/>
      <c r="Z176" s="285"/>
      <c r="AA176" s="285"/>
      <c r="AB176" s="286"/>
      <c r="AC176" s="245"/>
      <c r="AD176" s="246"/>
      <c r="AE176" s="247"/>
      <c r="AG176" s="3"/>
    </row>
    <row r="177" spans="2:34" s="240" customFormat="1" ht="86.4" customHeight="1">
      <c r="C177" s="241">
        <v>58</v>
      </c>
      <c r="D177" s="278" t="str">
        <f>IF(C12="English","1,6,7,8,9,14,15,16,17,17,18,18– Dodecachloropentacyclo [12.2.1.16,9.02,13.05,10] octadeca-7,15-diene (Dechlorane Plus) and anti- and syn-isomers
(CAS RN 13560-89-9, 135821-03-3, 135821-74-8)",IF(C12="中文","双(六氯环戊二烯)环辛烷（德克隆）及其顺异构体和反异构体
(CAS RN 13560-89-9, 135821-03-3, 135821-74-8)","1,6,7,8,9,14,15,16,17,17,18,18-ドデカクロロペンタシクロ[12.2.1.16,9.02,13.05,10]オクタデカ-7,15-ジエン (デクロランプラス) 並びにそのsyn-異性体及びanti-異性体
(CAS RN 13560-89-9, 135821-03-3, 135821-74-8)"))</f>
        <v>1,6,7,8,9,14,15,16,17,17,18,18– Dodecachloropentacyclo [12.2.1.16,9.02,13.05,10] octadeca-7,15-diene (Dechlorane Plus) and anti- and syn-isomers
(CAS RN 13560-89-9, 135821-03-3, 135821-74-8)</v>
      </c>
      <c r="E177" s="279"/>
      <c r="F177" s="279"/>
      <c r="G177" s="279"/>
      <c r="H177" s="279"/>
      <c r="I177" s="279"/>
      <c r="J177" s="279"/>
      <c r="K177" s="279"/>
      <c r="L177" s="279"/>
      <c r="M177" s="279"/>
      <c r="N177" s="279"/>
      <c r="O177" s="279"/>
      <c r="P177" s="280"/>
      <c r="Q177" s="281" t="str">
        <f>IF(C12="English","All uses",IF(C12="中文","所有用途","全ての用途"))</f>
        <v>All uses</v>
      </c>
      <c r="R177" s="282"/>
      <c r="S177" s="282"/>
      <c r="T177" s="282"/>
      <c r="U177" s="282"/>
      <c r="V177" s="282"/>
      <c r="W177" s="283"/>
      <c r="X177" s="284" t="str">
        <f>IF(C12="English","Intentionally added",IF(C12="中文","禁止有意添加","意図的添加禁止"))</f>
        <v>Intentionally added</v>
      </c>
      <c r="Y177" s="285"/>
      <c r="Z177" s="285"/>
      <c r="AA177" s="285"/>
      <c r="AB177" s="286"/>
      <c r="AC177" s="245"/>
      <c r="AD177" s="246"/>
      <c r="AE177" s="247"/>
      <c r="AG177" s="3"/>
    </row>
    <row r="178" spans="2:34" s="201" customFormat="1" ht="47.4" customHeight="1">
      <c r="C178" s="212">
        <v>59</v>
      </c>
      <c r="D178" s="278" t="str">
        <f>IF(C12="English","2-(2H-benzotriazol-2-yl)-4,6-ditertpentylphenol (UV-328)
(CAS RN 25973-55-1)",IF(C12="中文","2-(2H-苯并三唑-2-基)-4,6-二三級戊基苯酚
(UV-328)
(CAS RN 25973-55-1)","2-(2H-ベンゾトリアゾール-2-イル)-4,6-ジ-tert-ペンチルフェノール (UV-328) 
(CAS RN 25973-55-1)"))</f>
        <v>2-(2H-benzotriazol-2-yl)-4,6-ditertpentylphenol (UV-328)
(CAS RN 25973-55-1)</v>
      </c>
      <c r="E178" s="279"/>
      <c r="F178" s="279"/>
      <c r="G178" s="279"/>
      <c r="H178" s="279"/>
      <c r="I178" s="279"/>
      <c r="J178" s="279"/>
      <c r="K178" s="279"/>
      <c r="L178" s="279"/>
      <c r="M178" s="279"/>
      <c r="N178" s="279"/>
      <c r="O178" s="279"/>
      <c r="P178" s="280"/>
      <c r="Q178" s="281" t="str">
        <f>IF(C12="English","All uses",IF(C12="中文","所有用途","全ての用途"))</f>
        <v>All uses</v>
      </c>
      <c r="R178" s="282"/>
      <c r="S178" s="282"/>
      <c r="T178" s="282"/>
      <c r="U178" s="282"/>
      <c r="V178" s="282"/>
      <c r="W178" s="283"/>
      <c r="X178" s="284" t="str">
        <f>IF(C12="English","Intentionally added",IF(C12="中文","禁止有意添加","意図的添加禁止"))</f>
        <v>Intentionally added</v>
      </c>
      <c r="Y178" s="285"/>
      <c r="Z178" s="285"/>
      <c r="AA178" s="285"/>
      <c r="AB178" s="286"/>
      <c r="AC178" s="245"/>
      <c r="AD178" s="246"/>
      <c r="AE178" s="247"/>
      <c r="AG178" s="3"/>
    </row>
    <row r="179" spans="2:34" ht="55.05" customHeight="1">
      <c r="C179" s="248">
        <v>60</v>
      </c>
      <c r="D179" s="263" t="str">
        <f>IF(C12="English","China VOC Regulated Substances",IF(C12="中文","中国VOC管理物质","中国VOC規制物質"))</f>
        <v>China VOC Regulated Substances</v>
      </c>
      <c r="E179" s="264"/>
      <c r="F179" s="264"/>
      <c r="G179" s="264"/>
      <c r="H179" s="264"/>
      <c r="I179" s="264"/>
      <c r="J179" s="264"/>
      <c r="K179" s="264"/>
      <c r="L179" s="264"/>
      <c r="M179" s="264"/>
      <c r="N179" s="264"/>
      <c r="O179" s="264"/>
      <c r="P179" s="265"/>
      <c r="Q179" s="275" t="str">
        <f>IF(C12="English","Vehicle paints, industrial protective paints, adhesives, inks, and cleaning agents must comply with China National Standard (GB Standard) below. ",IF(C12="中文","关于车辆涂料、工业防护涂料、胶粘合剂、油墨、清洗剂应符合以下中国国家标准(GB规格)","車両塗料、工業防護塗料、接着剤、インク、洗浄剤について下記 中国国家標準（GB規格）へ適合すること"))</f>
        <v xml:space="preserve">Vehicle paints, industrial protective paints, adhesives, inks, and cleaning agents must comply with China National Standard (GB Standard) below. </v>
      </c>
      <c r="R179" s="276"/>
      <c r="S179" s="276"/>
      <c r="T179" s="276"/>
      <c r="U179" s="276"/>
      <c r="V179" s="276"/>
      <c r="W179" s="276"/>
      <c r="X179" s="276"/>
      <c r="Y179" s="276"/>
      <c r="Z179" s="276"/>
      <c r="AA179" s="276"/>
      <c r="AB179" s="277"/>
      <c r="AC179" s="251"/>
      <c r="AD179" s="252"/>
      <c r="AE179" s="253"/>
    </row>
    <row r="180" spans="2:34" ht="35.1" customHeight="1">
      <c r="C180" s="249"/>
      <c r="D180" s="266"/>
      <c r="E180" s="267"/>
      <c r="F180" s="267"/>
      <c r="G180" s="267"/>
      <c r="H180" s="267"/>
      <c r="I180" s="267"/>
      <c r="J180" s="267"/>
      <c r="K180" s="267"/>
      <c r="L180" s="267"/>
      <c r="M180" s="267"/>
      <c r="N180" s="267"/>
      <c r="O180" s="267"/>
      <c r="P180" s="268"/>
      <c r="Q180" s="257" t="s">
        <v>57</v>
      </c>
      <c r="R180" s="258"/>
      <c r="S180" s="258"/>
      <c r="T180" s="258"/>
      <c r="U180" s="258"/>
      <c r="V180" s="258"/>
      <c r="W180" s="258"/>
      <c r="X180" s="258"/>
      <c r="Y180" s="258"/>
      <c r="Z180" s="258"/>
      <c r="AA180" s="258"/>
      <c r="AB180" s="259"/>
      <c r="AC180" s="272"/>
      <c r="AD180" s="273"/>
      <c r="AE180" s="274"/>
    </row>
    <row r="181" spans="2:34" ht="94.05" customHeight="1">
      <c r="C181" s="250"/>
      <c r="D181" s="269"/>
      <c r="E181" s="270"/>
      <c r="F181" s="270"/>
      <c r="G181" s="270"/>
      <c r="H181" s="270"/>
      <c r="I181" s="270"/>
      <c r="J181" s="270"/>
      <c r="K181" s="270"/>
      <c r="L181" s="270"/>
      <c r="M181" s="270"/>
      <c r="N181" s="270"/>
      <c r="O181" s="270"/>
      <c r="P181" s="271"/>
      <c r="Q181" s="260" t="str">
        <f>IF(C12="English","* Refer to GB standard for details
The objects are the above chemicals to be delivered to the MinebeaMitsumi Group's factories in China.
＊Each product that is manufactured using the above chemicals and becomes dry and part of the parts is not object.
",IF(C12="中文","＊详见GB规格
向美蓓亚三美集团中国工厂交付上述化学品时为管理对象
＊使用上述化学品制造、处于干燥状态、成为零部件一部分的为管理对象外
","＊詳細はGB規格を参照
ミネベアミツミグループの中国工場に納入する上記化学品が対象
＊上記化学品を使用し製造され、乾燥状態となり、部品の一部となったものは対象外"))</f>
        <v xml:space="preserve">* Refer to GB standard for details
The objects are the above chemicals to be delivered to the MinebeaMitsumi Group's factories in China.
＊Each product that is manufactured using the above chemicals and becomes dry and part of the parts is not object.
</v>
      </c>
      <c r="R181" s="261"/>
      <c r="S181" s="261"/>
      <c r="T181" s="261"/>
      <c r="U181" s="261"/>
      <c r="V181" s="261"/>
      <c r="W181" s="261"/>
      <c r="X181" s="261"/>
      <c r="Y181" s="261"/>
      <c r="Z181" s="261"/>
      <c r="AA181" s="261"/>
      <c r="AB181" s="262"/>
      <c r="AC181" s="254"/>
      <c r="AD181" s="255"/>
      <c r="AE181" s="256"/>
    </row>
    <row r="182" spans="2:34" ht="14.1" customHeight="1">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row>
    <row r="183" spans="2:34" s="4" customFormat="1" ht="13.5" customHeight="1">
      <c r="B183" s="43"/>
      <c r="C183" s="219" t="str">
        <f>IF(C12="English","(*1) Specified amines compounds",IF(C12="中文","(*1) 特定胺化合物一览","(*1) 特定アミン化合物一覧"))</f>
        <v>(*1) Specified amines compounds</v>
      </c>
      <c r="D183" s="220"/>
      <c r="E183" s="221"/>
      <c r="F183" s="210"/>
      <c r="G183" s="210"/>
      <c r="H183" s="6"/>
      <c r="I183" s="6"/>
      <c r="J183" s="6"/>
      <c r="K183" s="6"/>
      <c r="L183" s="6"/>
      <c r="M183" s="6"/>
      <c r="N183" s="6"/>
      <c r="O183" s="6"/>
      <c r="P183" s="6"/>
      <c r="Q183" s="6"/>
      <c r="R183" s="6"/>
      <c r="S183" s="6"/>
      <c r="T183" s="6"/>
      <c r="U183" s="6"/>
      <c r="V183" s="6"/>
      <c r="W183" s="6"/>
      <c r="X183" s="6"/>
      <c r="Y183" s="6"/>
      <c r="Z183" s="6"/>
      <c r="AA183" s="6"/>
      <c r="AB183" s="6"/>
      <c r="AC183" s="6"/>
      <c r="AD183" s="6"/>
      <c r="AE183" s="6"/>
      <c r="AG183" s="13"/>
    </row>
    <row r="184" spans="2:34" s="4" customFormat="1" ht="13.5" customHeight="1">
      <c r="B184" s="43"/>
      <c r="C184" s="202" t="s">
        <v>42</v>
      </c>
      <c r="D184" s="324" t="str">
        <f>IF(C12="English","Chemical substances",IF(C12="中文","化学物质名","化学物質名"))</f>
        <v>Chemical substances</v>
      </c>
      <c r="E184" s="325"/>
      <c r="F184" s="325"/>
      <c r="G184" s="325"/>
      <c r="H184" s="325"/>
      <c r="I184" s="325"/>
      <c r="J184" s="325"/>
      <c r="K184" s="325"/>
      <c r="L184" s="325"/>
      <c r="M184" s="325"/>
      <c r="N184" s="325"/>
      <c r="O184" s="325"/>
      <c r="P184" s="326"/>
      <c r="Q184" s="324" t="s">
        <v>41</v>
      </c>
      <c r="R184" s="325"/>
      <c r="S184" s="325"/>
      <c r="T184" s="325"/>
      <c r="U184" s="326"/>
      <c r="V184" s="6"/>
      <c r="W184" s="6"/>
      <c r="X184" s="6"/>
      <c r="Y184" s="6"/>
      <c r="Z184" s="6"/>
      <c r="AA184" s="6"/>
      <c r="AB184" s="6"/>
      <c r="AC184" s="6"/>
      <c r="AD184" s="6"/>
      <c r="AE184" s="6"/>
      <c r="AG184" s="13"/>
    </row>
    <row r="185" spans="2:34" s="4" customFormat="1" ht="13.5" customHeight="1">
      <c r="B185" s="43"/>
      <c r="C185" s="202">
        <v>1</v>
      </c>
      <c r="D185" s="327" t="str">
        <f>IF(C12="English","4-aminoazobenzene",IF(C12="中文","4-氨基偶氮苯","4-アミノアゾベンゼン"))</f>
        <v>4-aminoazobenzene</v>
      </c>
      <c r="E185" s="328"/>
      <c r="F185" s="328"/>
      <c r="G185" s="328"/>
      <c r="H185" s="328"/>
      <c r="I185" s="328"/>
      <c r="J185" s="328"/>
      <c r="K185" s="328"/>
      <c r="L185" s="328"/>
      <c r="M185" s="328"/>
      <c r="N185" s="328"/>
      <c r="O185" s="328"/>
      <c r="P185" s="329"/>
      <c r="Q185" s="517" t="s">
        <v>35</v>
      </c>
      <c r="R185" s="518"/>
      <c r="S185" s="518"/>
      <c r="T185" s="518"/>
      <c r="U185" s="519"/>
      <c r="V185" s="6"/>
      <c r="W185" s="6"/>
      <c r="X185" s="6"/>
      <c r="Y185" s="6"/>
      <c r="Z185" s="6"/>
      <c r="AA185" s="6"/>
      <c r="AB185" s="6"/>
      <c r="AC185" s="6"/>
      <c r="AD185" s="6"/>
      <c r="AE185" s="6"/>
      <c r="AG185" s="13"/>
      <c r="AH185" s="153"/>
    </row>
    <row r="186" spans="2:34" s="4" customFormat="1" ht="13.5" customHeight="1">
      <c r="B186" s="43"/>
      <c r="C186" s="202">
        <v>2</v>
      </c>
      <c r="D186" s="327" t="str">
        <f>IF(C12="English","o-anisidines",IF(C12="中文","邻氨基苯甲醚","o-アニシジン"))</f>
        <v>o-anisidines</v>
      </c>
      <c r="E186" s="328"/>
      <c r="F186" s="328"/>
      <c r="G186" s="328"/>
      <c r="H186" s="328"/>
      <c r="I186" s="328"/>
      <c r="J186" s="328"/>
      <c r="K186" s="328"/>
      <c r="L186" s="328"/>
      <c r="M186" s="328"/>
      <c r="N186" s="328"/>
      <c r="O186" s="328"/>
      <c r="P186" s="329"/>
      <c r="Q186" s="324" t="s">
        <v>1</v>
      </c>
      <c r="R186" s="325"/>
      <c r="S186" s="325"/>
      <c r="T186" s="325"/>
      <c r="U186" s="326"/>
      <c r="V186" s="6"/>
      <c r="W186" s="6"/>
      <c r="X186" s="6"/>
      <c r="Y186" s="6"/>
      <c r="Z186" s="6"/>
      <c r="AA186" s="6"/>
      <c r="AB186" s="6"/>
      <c r="AC186" s="6"/>
      <c r="AD186" s="6"/>
      <c r="AE186" s="6"/>
      <c r="AG186" s="13"/>
    </row>
    <row r="187" spans="2:34" s="4" customFormat="1" ht="13.5" customHeight="1">
      <c r="B187" s="43"/>
      <c r="C187" s="202">
        <v>3</v>
      </c>
      <c r="D187" s="327" t="str">
        <f>IF(C12="English","2-naphthylamine",IF(C12="中文","2-萘胺","2-ナフチルアミン"))</f>
        <v>2-naphthylamine</v>
      </c>
      <c r="E187" s="328"/>
      <c r="F187" s="328"/>
      <c r="G187" s="328"/>
      <c r="H187" s="328"/>
      <c r="I187" s="328"/>
      <c r="J187" s="328"/>
      <c r="K187" s="328"/>
      <c r="L187" s="328"/>
      <c r="M187" s="328"/>
      <c r="N187" s="328"/>
      <c r="O187" s="328"/>
      <c r="P187" s="329"/>
      <c r="Q187" s="324" t="s">
        <v>2</v>
      </c>
      <c r="R187" s="325"/>
      <c r="S187" s="325"/>
      <c r="T187" s="325"/>
      <c r="U187" s="326"/>
      <c r="V187" s="6"/>
      <c r="W187" s="6"/>
      <c r="X187" s="6"/>
      <c r="Y187" s="6"/>
      <c r="Z187" s="6"/>
      <c r="AA187" s="6"/>
      <c r="AB187" s="6"/>
      <c r="AC187" s="6"/>
      <c r="AD187" s="6"/>
      <c r="AE187" s="6"/>
      <c r="AG187" s="13"/>
    </row>
    <row r="188" spans="2:34" s="4" customFormat="1" ht="13.5" customHeight="1">
      <c r="B188" s="43"/>
      <c r="C188" s="202">
        <v>4</v>
      </c>
      <c r="D188" s="327" t="str">
        <f>IF(C12="English","3,3'-dichlorobenzidine",IF(C12="中文","3,3'-二氯联苯胺","3, 3-ジクロロベンジジン"))</f>
        <v>3,3'-dichlorobenzidine</v>
      </c>
      <c r="E188" s="328"/>
      <c r="F188" s="328"/>
      <c r="G188" s="328"/>
      <c r="H188" s="328"/>
      <c r="I188" s="328"/>
      <c r="J188" s="328"/>
      <c r="K188" s="328"/>
      <c r="L188" s="328"/>
      <c r="M188" s="328"/>
      <c r="N188" s="328"/>
      <c r="O188" s="328"/>
      <c r="P188" s="329"/>
      <c r="Q188" s="324" t="s">
        <v>3</v>
      </c>
      <c r="R188" s="325"/>
      <c r="S188" s="325"/>
      <c r="T188" s="325"/>
      <c r="U188" s="326"/>
      <c r="V188" s="6"/>
      <c r="W188" s="6"/>
      <c r="X188" s="6"/>
      <c r="Y188" s="6"/>
      <c r="Z188" s="6"/>
      <c r="AA188" s="6"/>
      <c r="AB188" s="6"/>
      <c r="AC188" s="6"/>
      <c r="AD188" s="6"/>
      <c r="AE188" s="6"/>
      <c r="AG188" s="13"/>
    </row>
    <row r="189" spans="2:34" s="4" customFormat="1" ht="13.5" customHeight="1">
      <c r="B189" s="43"/>
      <c r="C189" s="202">
        <v>5</v>
      </c>
      <c r="D189" s="327" t="str">
        <f>IF(C12="English","4-aminodiphenyl",IF(C12="中文","4-氨基二苯基","4-アミノジフェニル"))</f>
        <v>4-aminodiphenyl</v>
      </c>
      <c r="E189" s="328"/>
      <c r="F189" s="328"/>
      <c r="G189" s="328"/>
      <c r="H189" s="328"/>
      <c r="I189" s="328"/>
      <c r="J189" s="328"/>
      <c r="K189" s="328"/>
      <c r="L189" s="328"/>
      <c r="M189" s="328"/>
      <c r="N189" s="328"/>
      <c r="O189" s="328"/>
      <c r="P189" s="329"/>
      <c r="Q189" s="324" t="s">
        <v>4</v>
      </c>
      <c r="R189" s="325"/>
      <c r="S189" s="325"/>
      <c r="T189" s="325"/>
      <c r="U189" s="326"/>
      <c r="V189" s="6"/>
      <c r="W189" s="6"/>
      <c r="X189" s="6"/>
      <c r="Y189" s="6"/>
      <c r="Z189" s="6"/>
      <c r="AA189" s="6"/>
      <c r="AB189" s="6"/>
      <c r="AC189" s="6"/>
      <c r="AD189" s="6"/>
      <c r="AE189" s="6"/>
      <c r="AG189" s="13"/>
    </row>
    <row r="190" spans="2:34" s="4" customFormat="1" ht="13.5" customHeight="1">
      <c r="B190" s="43"/>
      <c r="C190" s="202">
        <v>6</v>
      </c>
      <c r="D190" s="327" t="str">
        <f>IF(C12="English","Benzidine",IF(C12="中文","联苯胺","ベンジジン"))</f>
        <v>Benzidine</v>
      </c>
      <c r="E190" s="328"/>
      <c r="F190" s="328"/>
      <c r="G190" s="328"/>
      <c r="H190" s="328"/>
      <c r="I190" s="328"/>
      <c r="J190" s="328"/>
      <c r="K190" s="328"/>
      <c r="L190" s="328"/>
      <c r="M190" s="328"/>
      <c r="N190" s="328"/>
      <c r="O190" s="328"/>
      <c r="P190" s="329"/>
      <c r="Q190" s="324" t="s">
        <v>5</v>
      </c>
      <c r="R190" s="325"/>
      <c r="S190" s="325"/>
      <c r="T190" s="325"/>
      <c r="U190" s="326"/>
      <c r="V190" s="6"/>
      <c r="W190" s="6"/>
      <c r="X190" s="6"/>
      <c r="Y190" s="6"/>
      <c r="Z190" s="6"/>
      <c r="AA190" s="6"/>
      <c r="AB190" s="6"/>
      <c r="AC190" s="6"/>
      <c r="AD190" s="6"/>
      <c r="AE190" s="6"/>
      <c r="AG190" s="13"/>
    </row>
    <row r="191" spans="2:34" s="4" customFormat="1" ht="13.5" customHeight="1">
      <c r="B191" s="43"/>
      <c r="C191" s="202">
        <v>7</v>
      </c>
      <c r="D191" s="327" t="str">
        <f>IF(C12="English","o-toluidine",IF(C12="中文","邻甲苯胺","o-トルイジン"))</f>
        <v>o-toluidine</v>
      </c>
      <c r="E191" s="328"/>
      <c r="F191" s="328"/>
      <c r="G191" s="328"/>
      <c r="H191" s="328"/>
      <c r="I191" s="328"/>
      <c r="J191" s="328"/>
      <c r="K191" s="328"/>
      <c r="L191" s="328"/>
      <c r="M191" s="328"/>
      <c r="N191" s="328"/>
      <c r="O191" s="328"/>
      <c r="P191" s="329"/>
      <c r="Q191" s="324" t="s">
        <v>6</v>
      </c>
      <c r="R191" s="325"/>
      <c r="S191" s="325"/>
      <c r="T191" s="325"/>
      <c r="U191" s="326"/>
      <c r="V191" s="6"/>
      <c r="W191" s="6"/>
      <c r="X191" s="6"/>
      <c r="Y191" s="6"/>
      <c r="Z191" s="6"/>
      <c r="AA191" s="6"/>
      <c r="AB191" s="6"/>
      <c r="AC191" s="6"/>
      <c r="AD191" s="6"/>
      <c r="AE191" s="6"/>
      <c r="AG191" s="13"/>
    </row>
    <row r="192" spans="2:34" s="4" customFormat="1" ht="13.5" customHeight="1">
      <c r="B192" s="43"/>
      <c r="C192" s="202">
        <v>8</v>
      </c>
      <c r="D192" s="327" t="str">
        <f>IF(C12="English","4-chloro-o-toluidine",IF(C12="中文","4-氯-邻-甲苯胺","4-クロロ-o-トルイジン"))</f>
        <v>4-chloro-o-toluidine</v>
      </c>
      <c r="E192" s="328"/>
      <c r="F192" s="328"/>
      <c r="G192" s="328"/>
      <c r="H192" s="328"/>
      <c r="I192" s="328"/>
      <c r="J192" s="328"/>
      <c r="K192" s="328"/>
      <c r="L192" s="328"/>
      <c r="M192" s="328"/>
      <c r="N192" s="328"/>
      <c r="O192" s="328"/>
      <c r="P192" s="329"/>
      <c r="Q192" s="324" t="s">
        <v>7</v>
      </c>
      <c r="R192" s="325"/>
      <c r="S192" s="325"/>
      <c r="T192" s="325"/>
      <c r="U192" s="326"/>
      <c r="V192" s="6"/>
      <c r="W192" s="6"/>
      <c r="X192" s="6"/>
      <c r="Y192" s="6"/>
      <c r="Z192" s="6"/>
      <c r="AA192" s="6"/>
      <c r="AB192" s="6"/>
      <c r="AC192" s="6"/>
      <c r="AD192" s="6"/>
      <c r="AE192" s="6"/>
      <c r="AG192" s="13"/>
    </row>
    <row r="193" spans="2:33" s="4" customFormat="1" ht="13.5" customHeight="1">
      <c r="B193" s="43"/>
      <c r="C193" s="202">
        <v>9</v>
      </c>
      <c r="D193" s="327" t="str">
        <f>IF(C12="English","2,4-toluenediamine",IF(C12="中文","2,4-甲苯二胺","2, 4-トルエンジアミン"))</f>
        <v>2,4-toluenediamine</v>
      </c>
      <c r="E193" s="328"/>
      <c r="F193" s="328"/>
      <c r="G193" s="328"/>
      <c r="H193" s="328"/>
      <c r="I193" s="328"/>
      <c r="J193" s="328"/>
      <c r="K193" s="328"/>
      <c r="L193" s="328"/>
      <c r="M193" s="328"/>
      <c r="N193" s="328"/>
      <c r="O193" s="328"/>
      <c r="P193" s="329"/>
      <c r="Q193" s="324" t="s">
        <v>8</v>
      </c>
      <c r="R193" s="325"/>
      <c r="S193" s="325"/>
      <c r="T193" s="325"/>
      <c r="U193" s="326"/>
      <c r="V193" s="6"/>
      <c r="W193" s="6"/>
      <c r="X193" s="6"/>
      <c r="Y193" s="6"/>
      <c r="Z193" s="6"/>
      <c r="AA193" s="6"/>
      <c r="AB193" s="6"/>
      <c r="AC193" s="6"/>
      <c r="AD193" s="6"/>
      <c r="AE193" s="6"/>
      <c r="AG193" s="13"/>
    </row>
    <row r="194" spans="2:33" s="4" customFormat="1" ht="13.5" customHeight="1">
      <c r="B194" s="43"/>
      <c r="C194" s="202">
        <v>10</v>
      </c>
      <c r="D194" s="327" t="str">
        <f>IF(C12="English","o-aminoazotoluene",IF(C12="中文","邻氨基偶氮甲苯","o-アミノアゾトルエン"))</f>
        <v>o-aminoazotoluene</v>
      </c>
      <c r="E194" s="328"/>
      <c r="F194" s="328"/>
      <c r="G194" s="328"/>
      <c r="H194" s="328"/>
      <c r="I194" s="328"/>
      <c r="J194" s="328"/>
      <c r="K194" s="328"/>
      <c r="L194" s="328"/>
      <c r="M194" s="328"/>
      <c r="N194" s="328"/>
      <c r="O194" s="328"/>
      <c r="P194" s="329"/>
      <c r="Q194" s="324" t="s">
        <v>9</v>
      </c>
      <c r="R194" s="325"/>
      <c r="S194" s="325"/>
      <c r="T194" s="325"/>
      <c r="U194" s="326"/>
      <c r="V194" s="6"/>
      <c r="W194" s="6"/>
      <c r="X194" s="6"/>
      <c r="Y194" s="6"/>
      <c r="Z194" s="6"/>
      <c r="AA194" s="6"/>
      <c r="AB194" s="6"/>
      <c r="AC194" s="6"/>
      <c r="AD194" s="6"/>
      <c r="AE194" s="6"/>
      <c r="AG194" s="13"/>
    </row>
    <row r="195" spans="2:33" s="4" customFormat="1" ht="13.5" customHeight="1">
      <c r="B195" s="43"/>
      <c r="C195" s="202">
        <v>11</v>
      </c>
      <c r="D195" s="327" t="str">
        <f>IF(C12="English","5-nitro-o-toluidine",IF(C12="中文","5-硝基邻甲苯胺","5-ニトロ-o-トルイジン"))</f>
        <v>5-nitro-o-toluidine</v>
      </c>
      <c r="E195" s="328"/>
      <c r="F195" s="328"/>
      <c r="G195" s="328"/>
      <c r="H195" s="328"/>
      <c r="I195" s="328"/>
      <c r="J195" s="328"/>
      <c r="K195" s="328"/>
      <c r="L195" s="328"/>
      <c r="M195" s="328"/>
      <c r="N195" s="328"/>
      <c r="O195" s="328"/>
      <c r="P195" s="329"/>
      <c r="Q195" s="324" t="s">
        <v>10</v>
      </c>
      <c r="R195" s="325"/>
      <c r="S195" s="325"/>
      <c r="T195" s="325"/>
      <c r="U195" s="326"/>
      <c r="V195" s="6"/>
      <c r="W195" s="6"/>
      <c r="X195" s="6"/>
      <c r="Y195" s="6"/>
      <c r="Z195" s="6"/>
      <c r="AA195" s="6"/>
      <c r="AB195" s="6"/>
      <c r="AC195" s="6"/>
      <c r="AD195" s="6"/>
      <c r="AE195" s="6"/>
      <c r="AG195" s="13"/>
    </row>
    <row r="196" spans="2:33" s="4" customFormat="1" ht="13.5" customHeight="1">
      <c r="B196" s="43"/>
      <c r="C196" s="202">
        <v>12</v>
      </c>
      <c r="D196" s="327" t="str">
        <f>IF(C12="English","4,4-methylene-bis-(2-chloroaniline)",IF(C12="中文","4,4'-亚甲基双（2-氯苯胺）","4, 4’-メチレン-ビス-（2-クロロアニリン）"))</f>
        <v>4,4-methylene-bis-(2-chloroaniline)</v>
      </c>
      <c r="E196" s="328"/>
      <c r="F196" s="328"/>
      <c r="G196" s="328"/>
      <c r="H196" s="328"/>
      <c r="I196" s="328"/>
      <c r="J196" s="328"/>
      <c r="K196" s="328"/>
      <c r="L196" s="328"/>
      <c r="M196" s="328"/>
      <c r="N196" s="328"/>
      <c r="O196" s="328"/>
      <c r="P196" s="329"/>
      <c r="Q196" s="324" t="s">
        <v>11</v>
      </c>
      <c r="R196" s="325"/>
      <c r="S196" s="325"/>
      <c r="T196" s="325"/>
      <c r="U196" s="326"/>
      <c r="V196" s="6"/>
      <c r="W196" s="6"/>
      <c r="X196" s="6"/>
      <c r="Y196" s="6"/>
      <c r="Z196" s="6"/>
      <c r="AA196" s="6"/>
      <c r="AB196" s="6"/>
      <c r="AC196" s="6"/>
      <c r="AD196" s="6"/>
      <c r="AE196" s="6"/>
      <c r="AG196" s="13"/>
    </row>
    <row r="197" spans="2:33" s="4" customFormat="1" ht="13.5" customHeight="1">
      <c r="B197" s="43"/>
      <c r="C197" s="202">
        <v>13</v>
      </c>
      <c r="D197" s="327" t="str">
        <f>IF(C12="English","4,4-diaminodiphenylmethane",IF(C12="中文","4,4'-二氨基二苯基甲烷","4, 4’-ジアミノジフェニルメタン"))</f>
        <v>4,4-diaminodiphenylmethane</v>
      </c>
      <c r="E197" s="328"/>
      <c r="F197" s="328"/>
      <c r="G197" s="328"/>
      <c r="H197" s="328"/>
      <c r="I197" s="328"/>
      <c r="J197" s="328"/>
      <c r="K197" s="328"/>
      <c r="L197" s="328"/>
      <c r="M197" s="328"/>
      <c r="N197" s="328"/>
      <c r="O197" s="328"/>
      <c r="P197" s="329"/>
      <c r="Q197" s="324" t="s">
        <v>12</v>
      </c>
      <c r="R197" s="325"/>
      <c r="S197" s="325"/>
      <c r="T197" s="325"/>
      <c r="U197" s="326"/>
      <c r="V197" s="6"/>
      <c r="W197" s="6"/>
      <c r="X197" s="6"/>
      <c r="Y197" s="6"/>
      <c r="Z197" s="6"/>
      <c r="AA197" s="6"/>
      <c r="AB197" s="6"/>
      <c r="AC197" s="6"/>
      <c r="AD197" s="6"/>
      <c r="AE197" s="6"/>
      <c r="AG197" s="13"/>
    </row>
    <row r="198" spans="2:33" s="4" customFormat="1" ht="13.5" customHeight="1">
      <c r="B198" s="43"/>
      <c r="C198" s="202">
        <v>14</v>
      </c>
      <c r="D198" s="327" t="str">
        <f>IF(C12="English","4,4-oxydianiline",IF(C12="中文","4,4'-氧基二苯胺及其盐","4, 4’-オキシジアニリン"))</f>
        <v>4,4-oxydianiline</v>
      </c>
      <c r="E198" s="328"/>
      <c r="F198" s="328"/>
      <c r="G198" s="328"/>
      <c r="H198" s="328"/>
      <c r="I198" s="328"/>
      <c r="J198" s="328"/>
      <c r="K198" s="328"/>
      <c r="L198" s="328"/>
      <c r="M198" s="328"/>
      <c r="N198" s="328"/>
      <c r="O198" s="328"/>
      <c r="P198" s="329"/>
      <c r="Q198" s="324" t="s">
        <v>13</v>
      </c>
      <c r="R198" s="325"/>
      <c r="S198" s="325"/>
      <c r="T198" s="325"/>
      <c r="U198" s="326"/>
      <c r="V198" s="6"/>
      <c r="W198" s="6"/>
      <c r="X198" s="6"/>
      <c r="Y198" s="6"/>
      <c r="Z198" s="6"/>
      <c r="AA198" s="6"/>
      <c r="AB198" s="6"/>
      <c r="AC198" s="6"/>
      <c r="AD198" s="6"/>
      <c r="AE198" s="6"/>
      <c r="AG198" s="13"/>
    </row>
    <row r="199" spans="2:33" s="4" customFormat="1" ht="13.5" customHeight="1">
      <c r="B199" s="43"/>
      <c r="C199" s="202">
        <v>15</v>
      </c>
      <c r="D199" s="327" t="str">
        <f>IF(C12="English","p-chloroaniline",IF(C12="中文","P-氯苯胺","p-クロロアニリン"))</f>
        <v>p-chloroaniline</v>
      </c>
      <c r="E199" s="328"/>
      <c r="F199" s="328"/>
      <c r="G199" s="328"/>
      <c r="H199" s="328"/>
      <c r="I199" s="328"/>
      <c r="J199" s="328"/>
      <c r="K199" s="328"/>
      <c r="L199" s="328"/>
      <c r="M199" s="328"/>
      <c r="N199" s="328"/>
      <c r="O199" s="328"/>
      <c r="P199" s="329"/>
      <c r="Q199" s="324" t="s">
        <v>14</v>
      </c>
      <c r="R199" s="325"/>
      <c r="S199" s="325"/>
      <c r="T199" s="325"/>
      <c r="U199" s="326"/>
      <c r="V199" s="6"/>
      <c r="W199" s="6"/>
      <c r="X199" s="6"/>
      <c r="Y199" s="6"/>
      <c r="Z199" s="6"/>
      <c r="AA199" s="6"/>
      <c r="AB199" s="6"/>
      <c r="AC199" s="6"/>
      <c r="AD199" s="6"/>
      <c r="AE199" s="6"/>
      <c r="AG199" s="13"/>
    </row>
    <row r="200" spans="2:33" s="4" customFormat="1" ht="13.5" customHeight="1">
      <c r="C200" s="202">
        <v>16</v>
      </c>
      <c r="D200" s="327" t="str">
        <f>IF(C12="English","3,3-dimethoxybenzidine",IF(C12="中文","3,3'-二甲氧基联苯胺","3, 3’-ジメトキシベンジジン"))</f>
        <v>3,3-dimethoxybenzidine</v>
      </c>
      <c r="E200" s="328"/>
      <c r="F200" s="328"/>
      <c r="G200" s="328"/>
      <c r="H200" s="328"/>
      <c r="I200" s="328"/>
      <c r="J200" s="328"/>
      <c r="K200" s="328"/>
      <c r="L200" s="328"/>
      <c r="M200" s="328"/>
      <c r="N200" s="328"/>
      <c r="O200" s="328"/>
      <c r="P200" s="329"/>
      <c r="Q200" s="324" t="s">
        <v>15</v>
      </c>
      <c r="R200" s="325"/>
      <c r="S200" s="325"/>
      <c r="T200" s="325"/>
      <c r="U200" s="326"/>
      <c r="V200" s="6"/>
      <c r="W200" s="6"/>
      <c r="X200" s="6"/>
      <c r="Y200" s="6"/>
      <c r="Z200" s="6"/>
      <c r="AA200" s="6"/>
      <c r="AB200" s="6"/>
      <c r="AC200" s="6"/>
      <c r="AD200" s="6"/>
      <c r="AE200" s="6"/>
      <c r="AG200" s="13"/>
    </row>
    <row r="201" spans="2:33" s="4" customFormat="1" ht="13.5" customHeight="1">
      <c r="C201" s="202">
        <v>17</v>
      </c>
      <c r="D201" s="327" t="str">
        <f>IF(C12="English","3,3-dimethylbenzidine",IF(C12="中文","3,3'-二甲基联苯胺","3, 3’-ジメチルベンジジン"))</f>
        <v>3,3-dimethylbenzidine</v>
      </c>
      <c r="E201" s="328"/>
      <c r="F201" s="328"/>
      <c r="G201" s="328"/>
      <c r="H201" s="328"/>
      <c r="I201" s="328"/>
      <c r="J201" s="328"/>
      <c r="K201" s="328"/>
      <c r="L201" s="328"/>
      <c r="M201" s="328"/>
      <c r="N201" s="328"/>
      <c r="O201" s="328"/>
      <c r="P201" s="329"/>
      <c r="Q201" s="324" t="s">
        <v>16</v>
      </c>
      <c r="R201" s="325"/>
      <c r="S201" s="325"/>
      <c r="T201" s="325"/>
      <c r="U201" s="326"/>
      <c r="V201" s="6"/>
      <c r="W201" s="6"/>
      <c r="X201" s="6"/>
      <c r="Y201" s="6"/>
      <c r="Z201" s="6"/>
      <c r="AA201" s="6"/>
      <c r="AB201" s="6"/>
      <c r="AC201" s="6"/>
      <c r="AD201" s="6"/>
      <c r="AE201" s="6"/>
      <c r="AG201" s="13"/>
    </row>
    <row r="202" spans="2:33" s="4" customFormat="1" ht="13.5" customHeight="1">
      <c r="C202" s="202">
        <v>18</v>
      </c>
      <c r="D202" s="327" t="str">
        <f>IF(C12="English","p-cresidine",IF(C12="中文","邻氨基对甲苯甲醚","p-クレシジン"))</f>
        <v>p-cresidine</v>
      </c>
      <c r="E202" s="328"/>
      <c r="F202" s="328"/>
      <c r="G202" s="328"/>
      <c r="H202" s="328"/>
      <c r="I202" s="328"/>
      <c r="J202" s="328"/>
      <c r="K202" s="328"/>
      <c r="L202" s="328"/>
      <c r="M202" s="328"/>
      <c r="N202" s="328"/>
      <c r="O202" s="328"/>
      <c r="P202" s="329"/>
      <c r="Q202" s="324" t="s">
        <v>17</v>
      </c>
      <c r="R202" s="325"/>
      <c r="S202" s="325"/>
      <c r="T202" s="325"/>
      <c r="U202" s="326"/>
      <c r="V202" s="6"/>
      <c r="W202" s="6"/>
      <c r="X202" s="6"/>
      <c r="Y202" s="6"/>
      <c r="Z202" s="6"/>
      <c r="AA202" s="6"/>
      <c r="AB202" s="6"/>
      <c r="AC202" s="6"/>
      <c r="AD202" s="6"/>
      <c r="AE202" s="6"/>
      <c r="AG202" s="13"/>
    </row>
    <row r="203" spans="2:33" s="4" customFormat="1" ht="13.5" customHeight="1">
      <c r="C203" s="202">
        <v>19</v>
      </c>
      <c r="D203" s="327" t="str">
        <f>IF(C12="English","2,4,5-trimethylaniline",IF(C12="中文","2,4,5-三甲基苯胺","2, 4, 5-トリメチルアニリン"))</f>
        <v>2,4,5-trimethylaniline</v>
      </c>
      <c r="E203" s="328"/>
      <c r="F203" s="328"/>
      <c r="G203" s="328"/>
      <c r="H203" s="328"/>
      <c r="I203" s="328"/>
      <c r="J203" s="328"/>
      <c r="K203" s="328"/>
      <c r="L203" s="328"/>
      <c r="M203" s="328"/>
      <c r="N203" s="328"/>
      <c r="O203" s="328"/>
      <c r="P203" s="329"/>
      <c r="Q203" s="324" t="s">
        <v>18</v>
      </c>
      <c r="R203" s="325"/>
      <c r="S203" s="325"/>
      <c r="T203" s="325"/>
      <c r="U203" s="326"/>
      <c r="V203" s="6"/>
      <c r="W203" s="6"/>
      <c r="X203" s="6"/>
      <c r="Y203" s="6"/>
      <c r="Z203" s="6"/>
      <c r="AA203" s="6"/>
      <c r="AB203" s="6"/>
      <c r="AC203" s="6"/>
      <c r="AD203" s="6"/>
      <c r="AE203" s="6"/>
      <c r="AG203" s="13"/>
    </row>
    <row r="204" spans="2:33" s="4" customFormat="1" ht="13.5" customHeight="1">
      <c r="C204" s="202">
        <v>20</v>
      </c>
      <c r="D204" s="327" t="str">
        <f>IF(C12="English","4,4-thiodianiline",IF(C12="中文","4,4'-硫代二苯胺","4, 4’-チオジアニリン"))</f>
        <v>4,4-thiodianiline</v>
      </c>
      <c r="E204" s="328"/>
      <c r="F204" s="328"/>
      <c r="G204" s="328"/>
      <c r="H204" s="328"/>
      <c r="I204" s="328"/>
      <c r="J204" s="328"/>
      <c r="K204" s="328"/>
      <c r="L204" s="328"/>
      <c r="M204" s="328"/>
      <c r="N204" s="328"/>
      <c r="O204" s="328"/>
      <c r="P204" s="329"/>
      <c r="Q204" s="324" t="s">
        <v>19</v>
      </c>
      <c r="R204" s="325"/>
      <c r="S204" s="325"/>
      <c r="T204" s="325"/>
      <c r="U204" s="326"/>
      <c r="V204" s="6"/>
      <c r="W204" s="6"/>
      <c r="X204" s="6"/>
      <c r="Y204" s="6"/>
      <c r="Z204" s="6"/>
      <c r="AA204" s="6"/>
      <c r="AB204" s="6"/>
      <c r="AC204" s="6"/>
      <c r="AD204" s="6"/>
      <c r="AE204" s="6"/>
      <c r="AG204" s="13"/>
    </row>
    <row r="205" spans="2:33" s="4" customFormat="1" ht="13.5" customHeight="1">
      <c r="C205" s="202">
        <v>21</v>
      </c>
      <c r="D205" s="327" t="str">
        <f>IF(C12="English","2,4-diaminoanisole",IF(C12="中文","2,4-二氨基茴香醚","2, 4’-ジアミノアニソール"))</f>
        <v>2,4-diaminoanisole</v>
      </c>
      <c r="E205" s="328"/>
      <c r="F205" s="328"/>
      <c r="G205" s="328"/>
      <c r="H205" s="328"/>
      <c r="I205" s="328"/>
      <c r="J205" s="328"/>
      <c r="K205" s="328"/>
      <c r="L205" s="328"/>
      <c r="M205" s="328"/>
      <c r="N205" s="328"/>
      <c r="O205" s="328"/>
      <c r="P205" s="329"/>
      <c r="Q205" s="324" t="s">
        <v>20</v>
      </c>
      <c r="R205" s="325"/>
      <c r="S205" s="325"/>
      <c r="T205" s="325"/>
      <c r="U205" s="326"/>
      <c r="V205" s="6"/>
      <c r="W205" s="6"/>
      <c r="X205" s="6"/>
      <c r="Y205" s="6"/>
      <c r="Z205" s="6"/>
      <c r="AA205" s="6"/>
      <c r="AB205" s="6"/>
      <c r="AC205" s="6"/>
      <c r="AD205" s="6"/>
      <c r="AE205" s="6"/>
      <c r="AG205" s="13"/>
    </row>
    <row r="206" spans="2:33" s="4" customFormat="1" ht="13.5" customHeight="1">
      <c r="C206" s="202">
        <v>22</v>
      </c>
      <c r="D206" s="514" t="str">
        <f>IF(C12="English","3,3-dimethyl-4,4-diaminodiphenylmethane",IF(C12="中文","3,3'-二甲基-4,4'-二氨基二苯基甲烷","3, 3’-ジメチル-4, 4’-ジアミノジフェニルメタン"))</f>
        <v>3,3-dimethyl-4,4-diaminodiphenylmethane</v>
      </c>
      <c r="E206" s="515"/>
      <c r="F206" s="515"/>
      <c r="G206" s="515"/>
      <c r="H206" s="515"/>
      <c r="I206" s="515"/>
      <c r="J206" s="515"/>
      <c r="K206" s="515"/>
      <c r="L206" s="515"/>
      <c r="M206" s="515"/>
      <c r="N206" s="515"/>
      <c r="O206" s="515"/>
      <c r="P206" s="516"/>
      <c r="Q206" s="324" t="s">
        <v>21</v>
      </c>
      <c r="R206" s="325"/>
      <c r="S206" s="325"/>
      <c r="T206" s="325"/>
      <c r="U206" s="326"/>
      <c r="V206" s="6"/>
      <c r="W206" s="6"/>
      <c r="X206" s="6"/>
      <c r="Y206" s="6"/>
      <c r="Z206" s="6"/>
      <c r="AA206" s="6"/>
      <c r="AB206" s="6"/>
      <c r="AC206" s="6"/>
      <c r="AD206" s="6"/>
      <c r="AE206" s="6"/>
      <c r="AG206" s="13"/>
    </row>
    <row r="207" spans="2:33" s="4" customFormat="1" ht="13.5" customHeight="1">
      <c r="C207" s="202">
        <v>23</v>
      </c>
      <c r="D207" s="327" t="str">
        <f>IF(C12="English","2,4-Xylidine",IF(C12="中文","2,4-二甲基苯胺","2,4-キシリジン"))</f>
        <v>2,4-Xylidine</v>
      </c>
      <c r="E207" s="328"/>
      <c r="F207" s="328"/>
      <c r="G207" s="328"/>
      <c r="H207" s="328"/>
      <c r="I207" s="328"/>
      <c r="J207" s="328"/>
      <c r="K207" s="328"/>
      <c r="L207" s="328"/>
      <c r="M207" s="328"/>
      <c r="N207" s="328"/>
      <c r="O207" s="328"/>
      <c r="P207" s="329"/>
      <c r="Q207" s="324" t="s">
        <v>71</v>
      </c>
      <c r="R207" s="325"/>
      <c r="S207" s="325"/>
      <c r="T207" s="325"/>
      <c r="U207" s="326"/>
      <c r="V207" s="6"/>
      <c r="W207" s="6"/>
      <c r="X207" s="6"/>
      <c r="Y207" s="6"/>
      <c r="Z207" s="6"/>
      <c r="AA207" s="6"/>
      <c r="AB207" s="6"/>
      <c r="AC207" s="6"/>
      <c r="AD207" s="6"/>
      <c r="AE207" s="6"/>
      <c r="AG207" s="13"/>
    </row>
    <row r="208" spans="2:33" s="4" customFormat="1" ht="13.5" customHeight="1">
      <c r="C208" s="202">
        <v>24</v>
      </c>
      <c r="D208" s="327" t="str">
        <f>IF(C12="English","2,6-Xylidine",IF(C12="中文","2,6-二甲基苯胺","2,6-キシリジン"))</f>
        <v>2,6-Xylidine</v>
      </c>
      <c r="E208" s="328"/>
      <c r="F208" s="328"/>
      <c r="G208" s="328"/>
      <c r="H208" s="328"/>
      <c r="I208" s="328"/>
      <c r="J208" s="328"/>
      <c r="K208" s="328"/>
      <c r="L208" s="328"/>
      <c r="M208" s="328"/>
      <c r="N208" s="328"/>
      <c r="O208" s="328"/>
      <c r="P208" s="329"/>
      <c r="Q208" s="324" t="s">
        <v>72</v>
      </c>
      <c r="R208" s="325"/>
      <c r="S208" s="325"/>
      <c r="T208" s="325"/>
      <c r="U208" s="326"/>
      <c r="V208" s="6"/>
      <c r="W208" s="6"/>
      <c r="X208" s="6"/>
      <c r="Y208" s="6"/>
      <c r="Z208" s="6"/>
      <c r="AA208" s="6"/>
      <c r="AB208" s="6"/>
      <c r="AC208" s="6"/>
      <c r="AD208" s="6"/>
      <c r="AE208" s="6"/>
      <c r="AG208" s="13"/>
    </row>
    <row r="209" spans="3:38" s="4" customFormat="1" ht="13.5" customHeight="1">
      <c r="C209" s="204"/>
      <c r="D209" s="227"/>
      <c r="E209" s="227"/>
      <c r="F209" s="227"/>
      <c r="G209" s="227"/>
      <c r="H209" s="227"/>
      <c r="I209" s="227"/>
      <c r="J209" s="227"/>
      <c r="K209" s="227"/>
      <c r="L209" s="227"/>
      <c r="M209" s="227"/>
      <c r="N209" s="227"/>
      <c r="O209" s="227"/>
      <c r="P209" s="227"/>
      <c r="Q209" s="204"/>
      <c r="R209" s="204"/>
      <c r="S209" s="204"/>
      <c r="T209" s="204"/>
      <c r="U209" s="204"/>
      <c r="V209" s="6"/>
      <c r="W209" s="6"/>
      <c r="X209" s="6"/>
      <c r="Y209" s="6"/>
      <c r="Z209" s="6"/>
      <c r="AA209" s="6"/>
      <c r="AB209" s="6"/>
      <c r="AC209" s="6"/>
      <c r="AD209" s="6"/>
      <c r="AE209" s="6"/>
      <c r="AG209" s="13"/>
    </row>
    <row r="210" spans="3:38" s="4" customFormat="1" ht="13.5" customHeight="1">
      <c r="C210" s="204"/>
      <c r="D210" s="227"/>
      <c r="E210" s="227"/>
      <c r="F210" s="227"/>
      <c r="G210" s="227"/>
      <c r="H210" s="227"/>
      <c r="I210" s="227"/>
      <c r="J210" s="227"/>
      <c r="K210" s="227"/>
      <c r="L210" s="227"/>
      <c r="M210" s="227"/>
      <c r="N210" s="227"/>
      <c r="O210" s="227"/>
      <c r="P210" s="227"/>
      <c r="Q210" s="204"/>
      <c r="R210" s="204"/>
      <c r="S210" s="204"/>
      <c r="T210" s="204"/>
      <c r="U210" s="204"/>
      <c r="V210" s="6"/>
      <c r="W210" s="6"/>
      <c r="X210" s="6"/>
      <c r="Y210" s="6"/>
      <c r="Z210" s="6"/>
      <c r="AA210" s="6"/>
      <c r="AB210" s="6"/>
      <c r="AC210" s="6"/>
      <c r="AD210" s="6"/>
      <c r="AE210" s="6"/>
      <c r="AG210" s="13"/>
    </row>
    <row r="211" spans="3:38" s="4" customFormat="1" ht="14.1" customHeight="1">
      <c r="C211" s="222"/>
      <c r="D211" s="223"/>
      <c r="E211" s="6"/>
      <c r="F211" s="6"/>
      <c r="G211" s="6"/>
      <c r="H211" s="6"/>
      <c r="I211" s="6"/>
      <c r="J211" s="6"/>
      <c r="K211" s="6"/>
      <c r="L211" s="6"/>
      <c r="M211" s="6"/>
      <c r="N211" s="6"/>
      <c r="O211" s="6"/>
      <c r="P211" s="6"/>
      <c r="Q211" s="222"/>
      <c r="R211" s="224"/>
      <c r="S211" s="224"/>
      <c r="T211" s="224"/>
      <c r="U211" s="224"/>
      <c r="V211" s="6"/>
      <c r="W211" s="6"/>
      <c r="X211" s="6"/>
      <c r="Y211" s="6"/>
      <c r="Z211" s="6"/>
      <c r="AA211" s="6"/>
      <c r="AB211" s="6"/>
      <c r="AC211" s="6"/>
      <c r="AD211" s="6"/>
      <c r="AE211" s="6"/>
      <c r="AG211" s="13"/>
    </row>
    <row r="212" spans="3:38" s="4" customFormat="1" ht="14.1" customHeight="1">
      <c r="C212" s="219" t="str">
        <f>IF(C12="English","(*2) PFOA-related substances",IF(C12="中文","(*2）PFOA相关物质","(*2）PFOA関連物質"))</f>
        <v>(*2) PFOA-related substances</v>
      </c>
      <c r="D212" s="223"/>
      <c r="E212" s="6"/>
      <c r="F212" s="6"/>
      <c r="G212" s="6"/>
      <c r="H212" s="6"/>
      <c r="I212" s="6"/>
      <c r="J212" s="6"/>
      <c r="K212" s="6"/>
      <c r="L212" s="6"/>
      <c r="M212" s="6"/>
      <c r="N212" s="6"/>
      <c r="O212" s="6"/>
      <c r="P212" s="6"/>
      <c r="Q212" s="222"/>
      <c r="R212" s="224"/>
      <c r="S212" s="224"/>
      <c r="T212" s="224"/>
      <c r="U212" s="224"/>
      <c r="V212" s="6"/>
      <c r="W212" s="6"/>
      <c r="X212" s="6"/>
      <c r="Y212" s="6"/>
      <c r="Z212" s="6"/>
      <c r="AA212" s="6"/>
      <c r="AB212" s="6"/>
      <c r="AC212" s="6"/>
      <c r="AD212" s="6"/>
      <c r="AE212" s="6"/>
      <c r="AG212" s="13"/>
    </row>
    <row r="213" spans="3:38" s="4" customFormat="1" ht="35.1" customHeight="1">
      <c r="C213" s="512" t="str">
        <f>IF(C12="English","All related substances including salts and polymers with linear or branched perfluoroheptyl (C7F15-)or perfluorooctyl (C8F17-) groups directly bonded to another carbon molecule.",IF(C12="中文","包含一个直链或支链氟代庚基基团，化学式为C7F15-，直接连接在另一个碳原子上，作为一个结构要素的相关物质（包括其盐类和聚合物）。包含一个直链或支链氟代辛基基团，化学式为C8F17-，作为一个结构要素的相关物质（包括其盐类和聚合物）。","別の炭素分子と直接結合する直鎖または分枝のパーフルオロヘプチル基(C7F15-)またはパーフルオロオクチル基(C8F17-)をもつ塩と重合体を含むすべての関連物質"))</f>
        <v>All related substances including salts and polymers with linear or branched perfluoroheptyl (C7F15-)or perfluorooctyl (C8F17-) groups directly bonded to another carbon molecule.</v>
      </c>
      <c r="D213" s="513"/>
      <c r="E213" s="513"/>
      <c r="F213" s="513"/>
      <c r="G213" s="513"/>
      <c r="H213" s="513"/>
      <c r="I213" s="513"/>
      <c r="J213" s="513"/>
      <c r="K213" s="513"/>
      <c r="L213" s="513"/>
      <c r="M213" s="513"/>
      <c r="N213" s="513"/>
      <c r="O213" s="513"/>
      <c r="P213" s="513"/>
      <c r="Q213" s="513"/>
      <c r="R213" s="513"/>
      <c r="S213" s="513"/>
      <c r="T213" s="513"/>
      <c r="U213" s="513"/>
      <c r="V213" s="513"/>
      <c r="W213" s="513"/>
      <c r="X213" s="513"/>
      <c r="Y213" s="513"/>
      <c r="Z213" s="513"/>
      <c r="AA213" s="513"/>
      <c r="AB213" s="513"/>
      <c r="AC213" s="513"/>
      <c r="AD213" s="513"/>
      <c r="AE213" s="513"/>
      <c r="AG213" s="13"/>
    </row>
    <row r="214" spans="3:38" s="4" customFormat="1" ht="13.5" customHeight="1">
      <c r="C214" s="225"/>
      <c r="D214" s="226"/>
      <c r="E214" s="226"/>
      <c r="F214" s="226"/>
      <c r="G214" s="226"/>
      <c r="H214" s="226"/>
      <c r="I214" s="226"/>
      <c r="J214" s="226"/>
      <c r="K214" s="226"/>
      <c r="L214" s="226"/>
      <c r="M214" s="226"/>
      <c r="N214" s="226"/>
      <c r="O214" s="226"/>
      <c r="P214" s="226"/>
      <c r="Q214" s="226"/>
      <c r="R214" s="226"/>
      <c r="S214" s="226"/>
      <c r="T214" s="226"/>
      <c r="U214" s="226"/>
      <c r="V214" s="226"/>
      <c r="W214" s="226"/>
      <c r="X214" s="226"/>
      <c r="Y214" s="226"/>
      <c r="Z214" s="226"/>
      <c r="AA214" s="226"/>
      <c r="AB214" s="226"/>
      <c r="AC214" s="226"/>
      <c r="AD214" s="226"/>
      <c r="AE214" s="226"/>
      <c r="AG214" s="13"/>
    </row>
    <row r="215" spans="3:38" s="4" customFormat="1" ht="14.1" customHeight="1">
      <c r="C215" s="219" t="str">
        <f>IF(C12="English","(*3) halogenated diphenylmethane",IF(C12="中文","(*3) 卤代二苯甲烷","(*3) ハロゲン化ジフェニルメタン"))</f>
        <v>(*3) halogenated diphenylmethane</v>
      </c>
      <c r="D215" s="223"/>
      <c r="E215" s="6"/>
      <c r="F215" s="6"/>
      <c r="G215" s="6"/>
      <c r="H215" s="6"/>
      <c r="I215" s="6"/>
      <c r="J215" s="6"/>
      <c r="K215" s="6"/>
      <c r="L215" s="6"/>
      <c r="M215" s="6"/>
      <c r="N215" s="6"/>
      <c r="O215" s="6"/>
      <c r="P215" s="6"/>
      <c r="Q215" s="222"/>
      <c r="R215" s="224"/>
      <c r="S215" s="224"/>
      <c r="T215" s="224"/>
      <c r="U215" s="224"/>
      <c r="V215" s="6"/>
      <c r="W215" s="6"/>
      <c r="X215" s="6"/>
      <c r="Y215" s="6"/>
      <c r="Z215" s="6"/>
      <c r="AA215" s="6"/>
      <c r="AB215" s="6"/>
      <c r="AC215" s="6"/>
      <c r="AD215" s="6"/>
      <c r="AE215" s="6"/>
      <c r="AG215" s="13"/>
    </row>
    <row r="216" spans="3:38" s="4" customFormat="1" ht="13.5" customHeight="1">
      <c r="C216" s="239" t="s">
        <v>42</v>
      </c>
      <c r="D216" s="324" t="str">
        <f>IF(C12="English","Chemical substances",IF(C12="中文","化学物质名","化学物質名"))</f>
        <v>Chemical substances</v>
      </c>
      <c r="E216" s="459"/>
      <c r="F216" s="459"/>
      <c r="G216" s="459"/>
      <c r="H216" s="459"/>
      <c r="I216" s="459"/>
      <c r="J216" s="459"/>
      <c r="K216" s="459"/>
      <c r="L216" s="459"/>
      <c r="M216" s="459"/>
      <c r="N216" s="459"/>
      <c r="O216" s="459"/>
      <c r="P216" s="459"/>
      <c r="Q216" s="459"/>
      <c r="R216" s="459"/>
      <c r="S216" s="459"/>
      <c r="T216" s="459"/>
      <c r="U216" s="460"/>
      <c r="V216" s="324" t="s">
        <v>41</v>
      </c>
      <c r="W216" s="325"/>
      <c r="X216" s="325"/>
      <c r="Y216" s="325"/>
      <c r="Z216" s="326"/>
      <c r="AA216" s="6"/>
      <c r="AB216" s="6"/>
      <c r="AC216" s="6"/>
      <c r="AD216" s="6"/>
      <c r="AE216" s="6"/>
      <c r="AL216" s="13"/>
    </row>
    <row r="217" spans="3:38" s="4" customFormat="1" ht="13.5" customHeight="1">
      <c r="C217" s="202">
        <v>1</v>
      </c>
      <c r="D217" s="327" t="str">
        <f>IF(C12="English","Monomethyl-tetrachloro-diphenyl methane (Ugilec 141)",IF(C12="中文","四氯二苯甲烷单甲基酯 (Ugilec 141)","モノメチルテトラクロロジフェニルメタン (Ugilec 141)"))</f>
        <v>Monomethyl-tetrachloro-diphenyl methane (Ugilec 141)</v>
      </c>
      <c r="E217" s="330"/>
      <c r="F217" s="330"/>
      <c r="G217" s="330"/>
      <c r="H217" s="330"/>
      <c r="I217" s="330"/>
      <c r="J217" s="330"/>
      <c r="K217" s="330"/>
      <c r="L217" s="330"/>
      <c r="M217" s="330"/>
      <c r="N217" s="330"/>
      <c r="O217" s="330"/>
      <c r="P217" s="330"/>
      <c r="Q217" s="330"/>
      <c r="R217" s="330"/>
      <c r="S217" s="330"/>
      <c r="T217" s="330"/>
      <c r="U217" s="331"/>
      <c r="V217" s="324" t="s">
        <v>40</v>
      </c>
      <c r="W217" s="325"/>
      <c r="X217" s="325"/>
      <c r="Y217" s="325"/>
      <c r="Z217" s="326"/>
      <c r="AA217" s="6"/>
      <c r="AB217" s="6"/>
      <c r="AC217" s="6"/>
      <c r="AD217" s="6"/>
      <c r="AE217" s="6"/>
      <c r="AL217" s="13"/>
    </row>
    <row r="218" spans="3:38" s="4" customFormat="1" ht="13.5" customHeight="1">
      <c r="C218" s="202">
        <v>2</v>
      </c>
      <c r="D218" s="327" t="str">
        <f>IF(C12="English","Monomethyl-dichloro-diphenyl methane (Ugilec 121, Ugilec 21)",IF(C12="中文","单二氯二苯基甲烷 (Ugilec 121, Ugilec 21)","モノメチルジクロロジフェニルメタン 
(Ugilec 121, Ugilec 21)
"))</f>
        <v>Monomethyl-dichloro-diphenyl methane (Ugilec 121, Ugilec 21)</v>
      </c>
      <c r="E218" s="330"/>
      <c r="F218" s="330"/>
      <c r="G218" s="330"/>
      <c r="H218" s="330"/>
      <c r="I218" s="330"/>
      <c r="J218" s="330"/>
      <c r="K218" s="330"/>
      <c r="L218" s="330"/>
      <c r="M218" s="330"/>
      <c r="N218" s="330"/>
      <c r="O218" s="330"/>
      <c r="P218" s="330"/>
      <c r="Q218" s="330"/>
      <c r="R218" s="330"/>
      <c r="S218" s="330"/>
      <c r="T218" s="330"/>
      <c r="U218" s="331"/>
      <c r="V218" s="324" t="s">
        <v>22</v>
      </c>
      <c r="W218" s="325"/>
      <c r="X218" s="325"/>
      <c r="Y218" s="325"/>
      <c r="Z218" s="326"/>
      <c r="AA218" s="6"/>
      <c r="AB218" s="6"/>
      <c r="AC218" s="6"/>
      <c r="AD218" s="6"/>
      <c r="AE218" s="6"/>
      <c r="AL218" s="13"/>
    </row>
    <row r="219" spans="3:38" s="4" customFormat="1" ht="13.5" customHeight="1">
      <c r="C219" s="202">
        <v>3</v>
      </c>
      <c r="D219" s="327" t="str">
        <f>IF(C12="English","Monomethyl-dibromo-diphenyl methane (DBBT)",IF(C12="中文","单甲基二溴二苯基甲烷 (DBBT)","モノメチルジブロモジフェニルメタン (DBBT)"))</f>
        <v>Monomethyl-dibromo-diphenyl methane (DBBT)</v>
      </c>
      <c r="E219" s="330"/>
      <c r="F219" s="330"/>
      <c r="G219" s="330"/>
      <c r="H219" s="330"/>
      <c r="I219" s="330"/>
      <c r="J219" s="330"/>
      <c r="K219" s="330"/>
      <c r="L219" s="330"/>
      <c r="M219" s="330"/>
      <c r="N219" s="330"/>
      <c r="O219" s="330"/>
      <c r="P219" s="330"/>
      <c r="Q219" s="330"/>
      <c r="R219" s="330"/>
      <c r="S219" s="330"/>
      <c r="T219" s="330"/>
      <c r="U219" s="331"/>
      <c r="V219" s="324" t="s">
        <v>23</v>
      </c>
      <c r="W219" s="325"/>
      <c r="X219" s="325"/>
      <c r="Y219" s="325"/>
      <c r="Z219" s="326"/>
      <c r="AA219" s="6"/>
      <c r="AB219" s="6"/>
      <c r="AC219" s="6"/>
      <c r="AD219" s="6"/>
      <c r="AE219" s="6"/>
      <c r="AL219" s="13"/>
    </row>
    <row r="220" spans="3:38">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row>
    <row r="221" spans="3:38" s="201" customFormat="1">
      <c r="C221" s="219" t="str">
        <f>IF(C12="English","(*4) PFHxS-related substances",IF(C12="中文","(*4）PFHxS关连物质","(*4）PFHxS関連物質 "))</f>
        <v>(*4) PFHxS-related substances</v>
      </c>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G221" s="3"/>
    </row>
    <row r="222" spans="3:38" s="201" customFormat="1" ht="15" customHeight="1">
      <c r="C222" s="512" t="str">
        <f>IF(C12="English","Details refer to EM10507 6-1 Prohibited substances.",IF(C12="中文","限制对象的详细请参照EM10507 6-1 禁止物质","規制対象の詳細は、EM10507 6-1 禁止物質を参照下さい"))</f>
        <v>Details refer to EM10507 6-1 Prohibited substances.</v>
      </c>
      <c r="D222" s="513"/>
      <c r="E222" s="513"/>
      <c r="F222" s="513"/>
      <c r="G222" s="513"/>
      <c r="H222" s="513"/>
      <c r="I222" s="513"/>
      <c r="J222" s="513"/>
      <c r="K222" s="513"/>
      <c r="L222" s="513"/>
      <c r="M222" s="513"/>
      <c r="N222" s="513"/>
      <c r="O222" s="513"/>
      <c r="P222" s="513"/>
      <c r="Q222" s="513"/>
      <c r="R222" s="513"/>
      <c r="S222" s="513"/>
      <c r="T222" s="513"/>
      <c r="U222" s="513"/>
      <c r="V222" s="513"/>
      <c r="W222" s="513"/>
      <c r="X222" s="513"/>
      <c r="Y222" s="513"/>
      <c r="Z222" s="513"/>
      <c r="AA222" s="513"/>
      <c r="AB222" s="513"/>
      <c r="AC222" s="513"/>
      <c r="AD222" s="513"/>
      <c r="AE222" s="513"/>
      <c r="AG222" s="3"/>
    </row>
    <row r="223" spans="3:38" s="201" customFormat="1" ht="15" customHeight="1">
      <c r="C223" s="225"/>
      <c r="D223" s="22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G223" s="3"/>
    </row>
    <row r="224" spans="3:38">
      <c r="C224" s="219" t="str">
        <f>IF(C12="English","(*5) (PFCA) C9-C14-related substances",IF(C12="中文","(*5）PFCA(C9-C14)关连物质","(*5）PFCA(C9-C14)関連物質  "))</f>
        <v>(*5) (PFCA) C9-C14-related substances</v>
      </c>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row>
    <row r="225" spans="3:31">
      <c r="C225" s="512" t="str">
        <f>IF(C12="English","Details refer to EM10507 6-1 Prohibited substances.",IF(C12="中文","限制对象的详细请参照EM10507 6-1 禁止物质","規制対象の詳細は、EM10507 6-1 禁止物質を参照下さい"))</f>
        <v>Details refer to EM10507 6-1 Prohibited substances.</v>
      </c>
      <c r="D225" s="513"/>
      <c r="E225" s="513"/>
      <c r="F225" s="513"/>
      <c r="G225" s="513"/>
      <c r="H225" s="513"/>
      <c r="I225" s="513"/>
      <c r="J225" s="513"/>
      <c r="K225" s="513"/>
      <c r="L225" s="513"/>
      <c r="M225" s="513"/>
      <c r="N225" s="513"/>
      <c r="O225" s="513"/>
      <c r="P225" s="513"/>
      <c r="Q225" s="513"/>
      <c r="R225" s="513"/>
      <c r="S225" s="513"/>
      <c r="T225" s="513"/>
      <c r="U225" s="513"/>
      <c r="V225" s="513"/>
      <c r="W225" s="513"/>
      <c r="X225" s="513"/>
      <c r="Y225" s="513"/>
      <c r="Z225" s="513"/>
      <c r="AA225" s="513"/>
      <c r="AB225" s="513"/>
      <c r="AC225" s="513"/>
      <c r="AD225" s="513"/>
      <c r="AE225" s="513"/>
    </row>
  </sheetData>
  <mergeCells count="464">
    <mergeCell ref="X176:AB176"/>
    <mergeCell ref="AC176:AE176"/>
    <mergeCell ref="D177:P177"/>
    <mergeCell ref="Q177:W177"/>
    <mergeCell ref="X177:AB177"/>
    <mergeCell ref="AC177:AE177"/>
    <mergeCell ref="C146:C154"/>
    <mergeCell ref="D146:P146"/>
    <mergeCell ref="Q146:T154"/>
    <mergeCell ref="U146:W150"/>
    <mergeCell ref="X146:AB150"/>
    <mergeCell ref="AC146:AE146"/>
    <mergeCell ref="D147:P147"/>
    <mergeCell ref="AC147:AE147"/>
    <mergeCell ref="D148:P148"/>
    <mergeCell ref="AC148:AE148"/>
    <mergeCell ref="D149:P149"/>
    <mergeCell ref="AC149:AE149"/>
    <mergeCell ref="D150:P150"/>
    <mergeCell ref="AC150:AE150"/>
    <mergeCell ref="D151:P151"/>
    <mergeCell ref="U151:W154"/>
    <mergeCell ref="X151:AB154"/>
    <mergeCell ref="AC151:AE151"/>
    <mergeCell ref="D152:P152"/>
    <mergeCell ref="AC152:AE152"/>
    <mergeCell ref="D153:P153"/>
    <mergeCell ref="AC153:AE153"/>
    <mergeCell ref="D154:P154"/>
    <mergeCell ref="AC154:AE154"/>
    <mergeCell ref="C225:AE225"/>
    <mergeCell ref="C222:AE222"/>
    <mergeCell ref="X178:AB178"/>
    <mergeCell ref="AC178:AE178"/>
    <mergeCell ref="D175:P175"/>
    <mergeCell ref="Q175:W175"/>
    <mergeCell ref="X175:AB175"/>
    <mergeCell ref="D205:P205"/>
    <mergeCell ref="Q205:U205"/>
    <mergeCell ref="D206:P206"/>
    <mergeCell ref="Q206:U206"/>
    <mergeCell ref="C213:AE213"/>
    <mergeCell ref="D217:U217"/>
    <mergeCell ref="D219:U219"/>
    <mergeCell ref="D185:P185"/>
    <mergeCell ref="Q185:U185"/>
    <mergeCell ref="D186:P186"/>
    <mergeCell ref="Q186:U186"/>
    <mergeCell ref="D187:P187"/>
    <mergeCell ref="Q187:U187"/>
    <mergeCell ref="V219:Z219"/>
    <mergeCell ref="D208:P208"/>
    <mergeCell ref="Q208:U208"/>
    <mergeCell ref="V216:Z216"/>
    <mergeCell ref="C12:Z12"/>
    <mergeCell ref="Q30:V30"/>
    <mergeCell ref="W31:AC31"/>
    <mergeCell ref="B21:AE22"/>
    <mergeCell ref="Q28:V28"/>
    <mergeCell ref="Q29:V29"/>
    <mergeCell ref="B31:G31"/>
    <mergeCell ref="B29:G29"/>
    <mergeCell ref="B28:G28"/>
    <mergeCell ref="Z20:AE20"/>
    <mergeCell ref="C23:V23"/>
    <mergeCell ref="X23:AE23"/>
    <mergeCell ref="B24:O24"/>
    <mergeCell ref="B14:AD14"/>
    <mergeCell ref="A19:AE19"/>
    <mergeCell ref="B25:O25"/>
    <mergeCell ref="H29:P29"/>
    <mergeCell ref="B30:G30"/>
    <mergeCell ref="H30:P30"/>
    <mergeCell ref="W28:AE28"/>
    <mergeCell ref="W29:AE29"/>
    <mergeCell ref="W30:AE30"/>
    <mergeCell ref="Q31:V31"/>
    <mergeCell ref="H28:P28"/>
    <mergeCell ref="B43:AF43"/>
    <mergeCell ref="C52:G52"/>
    <mergeCell ref="H52:P52"/>
    <mergeCell ref="R52:V52"/>
    <mergeCell ref="W52:AE52"/>
    <mergeCell ref="E57:AE57"/>
    <mergeCell ref="D216:U216"/>
    <mergeCell ref="D66:H66"/>
    <mergeCell ref="I66:Q66"/>
    <mergeCell ref="R66:X66"/>
    <mergeCell ref="Y66:AE66"/>
    <mergeCell ref="D67:H67"/>
    <mergeCell ref="I67:Q67"/>
    <mergeCell ref="R67:X67"/>
    <mergeCell ref="Y67:AE67"/>
    <mergeCell ref="D64:H64"/>
    <mergeCell ref="I64:Q64"/>
    <mergeCell ref="R64:X64"/>
    <mergeCell ref="Y64:AE64"/>
    <mergeCell ref="D65:H65"/>
    <mergeCell ref="I65:Q65"/>
    <mergeCell ref="R65:X65"/>
    <mergeCell ref="Y65:AE65"/>
    <mergeCell ref="X85:AB85"/>
    <mergeCell ref="D68:H68"/>
    <mergeCell ref="I68:Q68"/>
    <mergeCell ref="R68:X68"/>
    <mergeCell ref="Y68:AE68"/>
    <mergeCell ref="D69:H69"/>
    <mergeCell ref="U26:AE26"/>
    <mergeCell ref="B47:Z47"/>
    <mergeCell ref="C61:AE61"/>
    <mergeCell ref="C62:AE62"/>
    <mergeCell ref="B26:G26"/>
    <mergeCell ref="C57:D57"/>
    <mergeCell ref="C59:D59"/>
    <mergeCell ref="C63:AE63"/>
    <mergeCell ref="C51:G51"/>
    <mergeCell ref="H51:P51"/>
    <mergeCell ref="R51:V51"/>
    <mergeCell ref="W51:AE51"/>
    <mergeCell ref="E59:AE59"/>
    <mergeCell ref="E54:AE54"/>
    <mergeCell ref="C54:D54"/>
    <mergeCell ref="H31:P31"/>
    <mergeCell ref="B33:AE42"/>
    <mergeCell ref="B45:AE45"/>
    <mergeCell ref="C50:G50"/>
    <mergeCell ref="H50:P50"/>
    <mergeCell ref="R50:V50"/>
    <mergeCell ref="W50:AE50"/>
    <mergeCell ref="B44:Z44"/>
    <mergeCell ref="B46:Z46"/>
    <mergeCell ref="I69:Q69"/>
    <mergeCell ref="R69:X69"/>
    <mergeCell ref="Y69:AE69"/>
    <mergeCell ref="Q77:W89"/>
    <mergeCell ref="X83:AB83"/>
    <mergeCell ref="D81:P81"/>
    <mergeCell ref="AC86:AE86"/>
    <mergeCell ref="AC82:AE85"/>
    <mergeCell ref="AC77:AE81"/>
    <mergeCell ref="D78:P78"/>
    <mergeCell ref="X78:AB78"/>
    <mergeCell ref="D79:P79"/>
    <mergeCell ref="X80:AB80"/>
    <mergeCell ref="AC87:AE89"/>
    <mergeCell ref="AC93:AE93"/>
    <mergeCell ref="D94:P94"/>
    <mergeCell ref="X94:AB97"/>
    <mergeCell ref="Q94:W97"/>
    <mergeCell ref="AC94:AE94"/>
    <mergeCell ref="D95:P95"/>
    <mergeCell ref="Z71:AE71"/>
    <mergeCell ref="D76:P76"/>
    <mergeCell ref="X76:AB76"/>
    <mergeCell ref="Q76:W76"/>
    <mergeCell ref="AC76:AE76"/>
    <mergeCell ref="D77:P77"/>
    <mergeCell ref="X77:AB77"/>
    <mergeCell ref="D90:P90"/>
    <mergeCell ref="X90:AB90"/>
    <mergeCell ref="X92:AB92"/>
    <mergeCell ref="X91:AB91"/>
    <mergeCell ref="Q91:W91"/>
    <mergeCell ref="Q92:W92"/>
    <mergeCell ref="D91:P92"/>
    <mergeCell ref="X93:AB93"/>
    <mergeCell ref="Q93:W93"/>
    <mergeCell ref="X79:AB79"/>
    <mergeCell ref="D80:P80"/>
    <mergeCell ref="AC90:AE90"/>
    <mergeCell ref="Q90:W90"/>
    <mergeCell ref="C103:C106"/>
    <mergeCell ref="D103:P103"/>
    <mergeCell ref="X103:AB103"/>
    <mergeCell ref="Q103:W103"/>
    <mergeCell ref="AC103:AE103"/>
    <mergeCell ref="D104:P104"/>
    <mergeCell ref="X104:AB106"/>
    <mergeCell ref="Q104:W106"/>
    <mergeCell ref="AC104:AE106"/>
    <mergeCell ref="D105:P105"/>
    <mergeCell ref="D106:P106"/>
    <mergeCell ref="C98:C102"/>
    <mergeCell ref="D98:P98"/>
    <mergeCell ref="X98:AB98"/>
    <mergeCell ref="Q98:W98"/>
    <mergeCell ref="AC98:AE98"/>
    <mergeCell ref="C93:C97"/>
    <mergeCell ref="D93:P93"/>
    <mergeCell ref="D99:P99"/>
    <mergeCell ref="X99:AB102"/>
    <mergeCell ref="Q99:W102"/>
    <mergeCell ref="AC99:AE102"/>
    <mergeCell ref="D100:P100"/>
    <mergeCell ref="D101:P101"/>
    <mergeCell ref="D102:P102"/>
    <mergeCell ref="AC95:AE95"/>
    <mergeCell ref="D96:P96"/>
    <mergeCell ref="AC96:AE96"/>
    <mergeCell ref="D97:P97"/>
    <mergeCell ref="AC97:AE97"/>
    <mergeCell ref="D107:P107"/>
    <mergeCell ref="X107:AB107"/>
    <mergeCell ref="Q107:W107"/>
    <mergeCell ref="AC107:AE107"/>
    <mergeCell ref="D111:P111"/>
    <mergeCell ref="X111:AB111"/>
    <mergeCell ref="Q111:W111"/>
    <mergeCell ref="AC111:AE111"/>
    <mergeCell ref="D114:P114"/>
    <mergeCell ref="X114:AB114"/>
    <mergeCell ref="Q114:W114"/>
    <mergeCell ref="AC114:AE114"/>
    <mergeCell ref="D112:P112"/>
    <mergeCell ref="X112:AB112"/>
    <mergeCell ref="Q112:W112"/>
    <mergeCell ref="AC112:AE112"/>
    <mergeCell ref="D113:P113"/>
    <mergeCell ref="X113:AB113"/>
    <mergeCell ref="Q113:W113"/>
    <mergeCell ref="AC113:AE113"/>
    <mergeCell ref="D117:P117"/>
    <mergeCell ref="X117:AB117"/>
    <mergeCell ref="Q117:W117"/>
    <mergeCell ref="AC117:AE117"/>
    <mergeCell ref="D118:P118"/>
    <mergeCell ref="X118:AB118"/>
    <mergeCell ref="Q118:W118"/>
    <mergeCell ref="AC118:AE118"/>
    <mergeCell ref="D115:P115"/>
    <mergeCell ref="X115:AB115"/>
    <mergeCell ref="Q115:W115"/>
    <mergeCell ref="AC115:AE115"/>
    <mergeCell ref="D116:P116"/>
    <mergeCell ref="X116:AB116"/>
    <mergeCell ref="Q116:W116"/>
    <mergeCell ref="AC116:AE116"/>
    <mergeCell ref="D121:P121"/>
    <mergeCell ref="X121:AB121"/>
    <mergeCell ref="Q121:W121"/>
    <mergeCell ref="AC121:AE121"/>
    <mergeCell ref="D122:P122"/>
    <mergeCell ref="X122:AB122"/>
    <mergeCell ref="Q122:W122"/>
    <mergeCell ref="AC122:AE122"/>
    <mergeCell ref="D119:P119"/>
    <mergeCell ref="X119:AB119"/>
    <mergeCell ref="Q119:W119"/>
    <mergeCell ref="AC119:AE119"/>
    <mergeCell ref="D120:P120"/>
    <mergeCell ref="X120:AB120"/>
    <mergeCell ref="Q120:W120"/>
    <mergeCell ref="AC120:AE120"/>
    <mergeCell ref="D131:P131"/>
    <mergeCell ref="X131:AB131"/>
    <mergeCell ref="Q131:W131"/>
    <mergeCell ref="AC131:AE131"/>
    <mergeCell ref="D127:P127"/>
    <mergeCell ref="X127:AB127"/>
    <mergeCell ref="Q127:W127"/>
    <mergeCell ref="AC127:AE127"/>
    <mergeCell ref="D128:P128"/>
    <mergeCell ref="X128:AB128"/>
    <mergeCell ref="Q128:W128"/>
    <mergeCell ref="AC128:AE128"/>
    <mergeCell ref="D130:P130"/>
    <mergeCell ref="Q130:W130"/>
    <mergeCell ref="X130:AB130"/>
    <mergeCell ref="AC130:AE130"/>
    <mergeCell ref="D129:P129"/>
    <mergeCell ref="X129:AB129"/>
    <mergeCell ref="Q129:W129"/>
    <mergeCell ref="AC129:AE129"/>
    <mergeCell ref="D133:P133"/>
    <mergeCell ref="X133:AB133"/>
    <mergeCell ref="Q133:W133"/>
    <mergeCell ref="AC133:AE133"/>
    <mergeCell ref="D134:P134"/>
    <mergeCell ref="X134:AB134"/>
    <mergeCell ref="Q134:W134"/>
    <mergeCell ref="AC134:AE134"/>
    <mergeCell ref="D132:P132"/>
    <mergeCell ref="X132:AB132"/>
    <mergeCell ref="Q132:W132"/>
    <mergeCell ref="AC132:AE132"/>
    <mergeCell ref="D137:P137"/>
    <mergeCell ref="X137:AB137"/>
    <mergeCell ref="Q137:W137"/>
    <mergeCell ref="AC137:AE137"/>
    <mergeCell ref="D138:P138"/>
    <mergeCell ref="X138:AB138"/>
    <mergeCell ref="Q138:W138"/>
    <mergeCell ref="AC138:AE138"/>
    <mergeCell ref="D135:P135"/>
    <mergeCell ref="X135:AB135"/>
    <mergeCell ref="Q135:W135"/>
    <mergeCell ref="AC135:AE135"/>
    <mergeCell ref="D136:P136"/>
    <mergeCell ref="X136:AB136"/>
    <mergeCell ref="Q136:W136"/>
    <mergeCell ref="AC136:AE136"/>
    <mergeCell ref="AC159:AE159"/>
    <mergeCell ref="Q159:W159"/>
    <mergeCell ref="D158:P158"/>
    <mergeCell ref="X158:AB158"/>
    <mergeCell ref="Q158:W158"/>
    <mergeCell ref="AC158:AE158"/>
    <mergeCell ref="D159:P159"/>
    <mergeCell ref="X159:AB159"/>
    <mergeCell ref="AC161:AE161"/>
    <mergeCell ref="D160:P160"/>
    <mergeCell ref="D161:P161"/>
    <mergeCell ref="D166:P166"/>
    <mergeCell ref="Q166:W166"/>
    <mergeCell ref="D167:P167"/>
    <mergeCell ref="Q167:W167"/>
    <mergeCell ref="D170:P170"/>
    <mergeCell ref="Q170:W170"/>
    <mergeCell ref="Q162:W162"/>
    <mergeCell ref="D184:P184"/>
    <mergeCell ref="Q184:U184"/>
    <mergeCell ref="D163:P163"/>
    <mergeCell ref="Q163:W163"/>
    <mergeCell ref="D164:P164"/>
    <mergeCell ref="Q164:W164"/>
    <mergeCell ref="D165:P165"/>
    <mergeCell ref="Q165:W165"/>
    <mergeCell ref="D178:P178"/>
    <mergeCell ref="Q178:W178"/>
    <mergeCell ref="D162:P162"/>
    <mergeCell ref="D176:P176"/>
    <mergeCell ref="Q176:W176"/>
    <mergeCell ref="V217:Z217"/>
    <mergeCell ref="D203:P203"/>
    <mergeCell ref="Q203:U203"/>
    <mergeCell ref="D204:P204"/>
    <mergeCell ref="Q204:U204"/>
    <mergeCell ref="D207:P207"/>
    <mergeCell ref="Q207:U207"/>
    <mergeCell ref="D200:P200"/>
    <mergeCell ref="Q200:U200"/>
    <mergeCell ref="D201:P201"/>
    <mergeCell ref="Q201:U201"/>
    <mergeCell ref="D202:P202"/>
    <mergeCell ref="D191:P191"/>
    <mergeCell ref="Q191:U191"/>
    <mergeCell ref="D192:P192"/>
    <mergeCell ref="D89:P89"/>
    <mergeCell ref="X89:AB89"/>
    <mergeCell ref="D88:P88"/>
    <mergeCell ref="V218:Z218"/>
    <mergeCell ref="Q192:U192"/>
    <mergeCell ref="D193:P193"/>
    <mergeCell ref="Q193:U193"/>
    <mergeCell ref="D188:P188"/>
    <mergeCell ref="Q188:U188"/>
    <mergeCell ref="D189:P189"/>
    <mergeCell ref="Q189:U189"/>
    <mergeCell ref="D190:P190"/>
    <mergeCell ref="Q190:U190"/>
    <mergeCell ref="Q202:U202"/>
    <mergeCell ref="D197:P197"/>
    <mergeCell ref="Q197:U197"/>
    <mergeCell ref="D198:P198"/>
    <mergeCell ref="Q198:U198"/>
    <mergeCell ref="D199:P199"/>
    <mergeCell ref="Q199:U199"/>
    <mergeCell ref="D194:P194"/>
    <mergeCell ref="Q194:U194"/>
    <mergeCell ref="D195:P195"/>
    <mergeCell ref="Q195:U195"/>
    <mergeCell ref="D196:P196"/>
    <mergeCell ref="Q196:U196"/>
    <mergeCell ref="D218:U218"/>
    <mergeCell ref="C77:C81"/>
    <mergeCell ref="X88:AB88"/>
    <mergeCell ref="X81:AB81"/>
    <mergeCell ref="D86:P86"/>
    <mergeCell ref="X86:AB86"/>
    <mergeCell ref="D87:P87"/>
    <mergeCell ref="X87:AB87"/>
    <mergeCell ref="C82:C85"/>
    <mergeCell ref="D82:P82"/>
    <mergeCell ref="X82:AB82"/>
    <mergeCell ref="D83:P83"/>
    <mergeCell ref="D84:P84"/>
    <mergeCell ref="X84:AB84"/>
    <mergeCell ref="D85:P85"/>
    <mergeCell ref="D126:P126"/>
    <mergeCell ref="X126:AB126"/>
    <mergeCell ref="Q126:W126"/>
    <mergeCell ref="D155:P155"/>
    <mergeCell ref="C91:C92"/>
    <mergeCell ref="X163:AB163"/>
    <mergeCell ref="AC163:AE163"/>
    <mergeCell ref="X155:AB155"/>
    <mergeCell ref="Q155:W155"/>
    <mergeCell ref="AC155:AE155"/>
    <mergeCell ref="X165:AB165"/>
    <mergeCell ref="AC165:AE165"/>
    <mergeCell ref="X162:AB162"/>
    <mergeCell ref="AC162:AE162"/>
    <mergeCell ref="X160:AB160"/>
    <mergeCell ref="Q160:W160"/>
    <mergeCell ref="AC160:AE160"/>
    <mergeCell ref="X161:AB161"/>
    <mergeCell ref="X164:AB164"/>
    <mergeCell ref="AC164:AE164"/>
    <mergeCell ref="C156:C157"/>
    <mergeCell ref="D156:P157"/>
    <mergeCell ref="X156:AB156"/>
    <mergeCell ref="Q156:W156"/>
    <mergeCell ref="X157:AB157"/>
    <mergeCell ref="Q157:W157"/>
    <mergeCell ref="AC156:AE157"/>
    <mergeCell ref="Q161:W161"/>
    <mergeCell ref="AC126:AE126"/>
    <mergeCell ref="B9:AD9"/>
    <mergeCell ref="B3:AE3"/>
    <mergeCell ref="C5:H5"/>
    <mergeCell ref="C15:AD15"/>
    <mergeCell ref="X170:AB170"/>
    <mergeCell ref="AC170:AE170"/>
    <mergeCell ref="D171:P171"/>
    <mergeCell ref="Q171:W171"/>
    <mergeCell ref="X171:AB171"/>
    <mergeCell ref="AC171:AE171"/>
    <mergeCell ref="X167:AB167"/>
    <mergeCell ref="AC167:AE167"/>
    <mergeCell ref="D168:P168"/>
    <mergeCell ref="Q168:W168"/>
    <mergeCell ref="X168:AB168"/>
    <mergeCell ref="AC168:AE168"/>
    <mergeCell ref="D169:P169"/>
    <mergeCell ref="Q169:W169"/>
    <mergeCell ref="X169:AB169"/>
    <mergeCell ref="AC169:AE169"/>
    <mergeCell ref="AC166:AE166"/>
    <mergeCell ref="X166:AB166"/>
    <mergeCell ref="D125:P125"/>
    <mergeCell ref="AC175:AE175"/>
    <mergeCell ref="C87:C89"/>
    <mergeCell ref="AC91:AE92"/>
    <mergeCell ref="Q180:AB180"/>
    <mergeCell ref="Q181:AB181"/>
    <mergeCell ref="D179:P181"/>
    <mergeCell ref="AC179:AE181"/>
    <mergeCell ref="C179:C181"/>
    <mergeCell ref="Q179:AB179"/>
    <mergeCell ref="D172:P172"/>
    <mergeCell ref="Q172:W172"/>
    <mergeCell ref="X172:AB172"/>
    <mergeCell ref="AC172:AE172"/>
    <mergeCell ref="D173:P173"/>
    <mergeCell ref="Q173:W173"/>
    <mergeCell ref="X173:AB173"/>
    <mergeCell ref="AC173:AE173"/>
    <mergeCell ref="D174:P174"/>
    <mergeCell ref="Q174:W174"/>
    <mergeCell ref="X174:AB174"/>
    <mergeCell ref="AC174:AE174"/>
    <mergeCell ref="X125:AB125"/>
    <mergeCell ref="Q125:W125"/>
    <mergeCell ref="AC125:AE125"/>
  </mergeCells>
  <phoneticPr fontId="2"/>
  <dataValidations count="5">
    <dataValidation type="list" allowBlank="1" showInputMessage="1" sqref="AC77:AD77 AC82:AD82 AC99:AD102 AC104:AD104 AC94:AD97 G183 AC147:AD156 AC90:AD91 AC107:AD109 AC111:AD145 AC86:AC87 AD86 AC158:AD179">
      <formula1>"○"</formula1>
    </dataValidation>
    <dataValidation allowBlank="1" showInputMessage="1" sqref="AC146:AE146"/>
    <dataValidation type="list" allowBlank="1" showInputMessage="1" showErrorMessage="1" sqref="C6:F6">
      <formula1>$AH$6:$AH$6</formula1>
    </dataValidation>
    <dataValidation type="list" allowBlank="1" showInputMessage="1" showErrorMessage="1" sqref="C5:H5">
      <formula1>$AH$5:$AH$6</formula1>
    </dataValidation>
    <dataValidation type="list" allowBlank="1" showInputMessage="1" showErrorMessage="1" sqref="C12:Z12">
      <formula1>$AH$10:$AH$12</formula1>
    </dataValidation>
  </dataValidations>
  <hyperlinks>
    <hyperlink ref="B44" r:id="rId1" display="http://www.minebeamitsumi.com.cn/procurements_environment.aspx"/>
    <hyperlink ref="B46" r:id="rId2" display="http://www.minebeamitsumi.com/corp/company/procurements/green/index.html"/>
    <hyperlink ref="B47" r:id="rId3" display="https://www.minebeamitsumi.com/english/corp/company/procurements/green/"/>
    <hyperlink ref="C63" r:id="rId4"/>
  </hyperlinks>
  <pageMargins left="0.39370078740157483" right="0.19685039370078741" top="0.59055118110236227" bottom="0.39370078740157483" header="0.19685039370078741" footer="0.19685039370078741"/>
  <pageSetup paperSize="9" orientation="portrait" cellComments="asDisplayed" r:id="rId5"/>
  <headerFooter>
    <oddHeader>&amp;R&amp;P page</oddHeader>
    <oddFooter>&amp;C&amp;"ＭＳ ゴシック,標準"&amp;9MinebeaMitsumi Inc.</oddFooter>
  </headerFooter>
  <drawing r:id="rId6"/>
  <legacyDrawing r:id="rId7"/>
  <mc:AlternateContent xmlns:mc="http://schemas.openxmlformats.org/markup-compatibility/2006">
    <mc:Choice Requires="x14">
      <controls>
        <mc:AlternateContent xmlns:mc="http://schemas.openxmlformats.org/markup-compatibility/2006">
          <mc:Choice Requires="x14">
            <control shapeId="7169" r:id="rId8" name="Check Box 1">
              <controlPr defaultSize="0" autoFill="0" autoLine="0" autoPict="0">
                <anchor moveWithCells="1">
                  <from>
                    <xdr:col>2</xdr:col>
                    <xdr:colOff>129540</xdr:colOff>
                    <xdr:row>52</xdr:row>
                    <xdr:rowOff>106680</xdr:rowOff>
                  </from>
                  <to>
                    <xdr:col>5</xdr:col>
                    <xdr:colOff>190500</xdr:colOff>
                    <xdr:row>54</xdr:row>
                    <xdr:rowOff>30480</xdr:rowOff>
                  </to>
                </anchor>
              </controlPr>
            </control>
          </mc:Choice>
        </mc:AlternateContent>
        <mc:AlternateContent xmlns:mc="http://schemas.openxmlformats.org/markup-compatibility/2006">
          <mc:Choice Requires="x14">
            <control shapeId="7170" r:id="rId9" name="Check Box 2">
              <controlPr defaultSize="0" autoFill="0" autoLine="0" autoPict="0">
                <anchor moveWithCells="1">
                  <from>
                    <xdr:col>2</xdr:col>
                    <xdr:colOff>129540</xdr:colOff>
                    <xdr:row>55</xdr:row>
                    <xdr:rowOff>182880</xdr:rowOff>
                  </from>
                  <to>
                    <xdr:col>5</xdr:col>
                    <xdr:colOff>205740</xdr:colOff>
                    <xdr:row>57</xdr:row>
                    <xdr:rowOff>30480</xdr:rowOff>
                  </to>
                </anchor>
              </controlPr>
            </control>
          </mc:Choice>
        </mc:AlternateContent>
        <mc:AlternateContent xmlns:mc="http://schemas.openxmlformats.org/markup-compatibility/2006">
          <mc:Choice Requires="x14">
            <control shapeId="7171" r:id="rId10" name="Check Box 3">
              <controlPr defaultSize="0" autoFill="0" autoLine="0" autoPict="0">
                <anchor moveWithCells="1">
                  <from>
                    <xdr:col>2</xdr:col>
                    <xdr:colOff>129540</xdr:colOff>
                    <xdr:row>57</xdr:row>
                    <xdr:rowOff>106680</xdr:rowOff>
                  </from>
                  <to>
                    <xdr:col>5</xdr:col>
                    <xdr:colOff>190500</xdr:colOff>
                    <xdr:row>59</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2:BK213"/>
  <sheetViews>
    <sheetView showGridLines="0" zoomScaleNormal="100" zoomScaleSheetLayoutView="100" workbookViewId="0"/>
  </sheetViews>
  <sheetFormatPr defaultColWidth="9" defaultRowHeight="15.6"/>
  <cols>
    <col min="1" max="1" width="1.109375" style="153" customWidth="1"/>
    <col min="2" max="28" width="3.109375" style="153" customWidth="1"/>
    <col min="29" max="29" width="5.6640625" style="153" customWidth="1"/>
    <col min="30" max="31" width="3.109375" style="153" customWidth="1"/>
    <col min="32" max="32" width="1.109375" style="153" customWidth="1"/>
    <col min="33" max="33" width="5.6640625" style="3" customWidth="1"/>
    <col min="34" max="36" width="5.6640625" style="153" hidden="1" customWidth="1"/>
    <col min="37" max="40" width="5.6640625" style="153" customWidth="1"/>
    <col min="41" max="63" width="9" style="153" customWidth="1"/>
    <col min="64" max="16384" width="9" style="153"/>
  </cols>
  <sheetData>
    <row r="2" spans="1:39">
      <c r="B2" s="175" t="s">
        <v>48</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7"/>
    </row>
    <row r="3" spans="1:39" s="130" customFormat="1" ht="30" customHeight="1">
      <c r="B3" s="295" t="s">
        <v>80</v>
      </c>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7"/>
      <c r="AG3" s="131"/>
    </row>
    <row r="4" spans="1:39" s="130" customFormat="1" ht="9" customHeight="1" thickBot="1">
      <c r="B4" s="132"/>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9"/>
      <c r="AG4" s="131"/>
    </row>
    <row r="5" spans="1:39" ht="25.5" customHeight="1" thickBot="1">
      <c r="B5" s="133"/>
      <c r="C5" s="298" t="s">
        <v>43</v>
      </c>
      <c r="D5" s="299"/>
      <c r="E5" s="299"/>
      <c r="F5" s="299"/>
      <c r="G5" s="299"/>
      <c r="H5" s="300"/>
      <c r="I5" s="3"/>
      <c r="J5" s="3"/>
      <c r="K5" s="3"/>
      <c r="L5" s="3"/>
      <c r="M5" s="3"/>
      <c r="N5" s="3"/>
      <c r="O5" s="3"/>
      <c r="P5" s="3"/>
      <c r="Q5" s="3"/>
      <c r="R5" s="3"/>
      <c r="S5" s="3"/>
      <c r="T5" s="3"/>
      <c r="U5" s="3"/>
      <c r="V5" s="3"/>
      <c r="W5" s="3"/>
      <c r="X5" s="3"/>
      <c r="Y5" s="3"/>
      <c r="Z5" s="3"/>
      <c r="AA5" s="3"/>
      <c r="AB5" s="3"/>
      <c r="AC5" s="3"/>
      <c r="AD5" s="3"/>
      <c r="AE5" s="134"/>
      <c r="AH5" s="153" t="s">
        <v>43</v>
      </c>
    </row>
    <row r="6" spans="1:39">
      <c r="B6" s="135"/>
      <c r="C6" s="136"/>
      <c r="D6" s="180"/>
      <c r="E6" s="180"/>
      <c r="F6" s="180"/>
      <c r="G6" s="136"/>
      <c r="H6" s="136"/>
      <c r="I6" s="136"/>
      <c r="J6" s="136"/>
      <c r="K6" s="136"/>
      <c r="L6" s="136"/>
      <c r="M6" s="136"/>
      <c r="N6" s="136"/>
      <c r="O6" s="136"/>
      <c r="P6" s="136"/>
      <c r="Q6" s="136"/>
      <c r="R6" s="136"/>
      <c r="S6" s="136"/>
      <c r="T6" s="136"/>
      <c r="U6" s="136"/>
      <c r="V6" s="136"/>
      <c r="W6" s="136"/>
      <c r="X6" s="136"/>
      <c r="Y6" s="136"/>
      <c r="Z6" s="136"/>
      <c r="AA6" s="136"/>
      <c r="AB6" s="136"/>
      <c r="AC6" s="136"/>
      <c r="AD6" s="136"/>
      <c r="AE6" s="137"/>
      <c r="AH6" s="153" t="s">
        <v>44</v>
      </c>
    </row>
    <row r="7" spans="1:39" ht="16.2" thickBot="1"/>
    <row r="8" spans="1:39">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3"/>
    </row>
    <row r="9" spans="1:39" s="130" customFormat="1" ht="45" customHeight="1">
      <c r="B9" s="293" t="s">
        <v>47</v>
      </c>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140"/>
      <c r="AG9" s="131"/>
    </row>
    <row r="10" spans="1:39" s="78" customFormat="1" ht="13.5" customHeight="1">
      <c r="A10" s="171"/>
      <c r="B10" s="112"/>
      <c r="C10" s="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2"/>
      <c r="AF10" s="183"/>
      <c r="AG10" s="181"/>
      <c r="AH10" s="2" t="s">
        <v>32</v>
      </c>
      <c r="AI10" s="138" t="s">
        <v>46</v>
      </c>
      <c r="AJ10" s="138" t="s">
        <v>68</v>
      </c>
      <c r="AL10" s="80"/>
    </row>
    <row r="11" spans="1:39" s="1" customFormat="1" ht="16.2" thickBot="1">
      <c r="B11" s="107" t="s">
        <v>45</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108"/>
      <c r="AF11" s="62"/>
      <c r="AG11" s="62"/>
      <c r="AH11" s="2" t="s">
        <v>31</v>
      </c>
      <c r="AI11" s="153" t="s">
        <v>62</v>
      </c>
      <c r="AJ11" s="4" t="s">
        <v>66</v>
      </c>
    </row>
    <row r="12" spans="1:39" s="1" customFormat="1" ht="16.2" thickBot="1">
      <c r="B12" s="107"/>
      <c r="C12" s="476" t="s">
        <v>32</v>
      </c>
      <c r="D12" s="477"/>
      <c r="E12" s="477"/>
      <c r="F12" s="477"/>
      <c r="G12" s="477"/>
      <c r="H12" s="477"/>
      <c r="I12" s="477"/>
      <c r="J12" s="477"/>
      <c r="K12" s="477"/>
      <c r="L12" s="477"/>
      <c r="M12" s="477"/>
      <c r="N12" s="477"/>
      <c r="O12" s="477"/>
      <c r="P12" s="477"/>
      <c r="Q12" s="477"/>
      <c r="R12" s="477"/>
      <c r="S12" s="477"/>
      <c r="T12" s="477"/>
      <c r="U12" s="477"/>
      <c r="V12" s="477"/>
      <c r="W12" s="477"/>
      <c r="X12" s="477"/>
      <c r="Y12" s="477"/>
      <c r="Z12" s="478"/>
      <c r="AA12" s="62"/>
      <c r="AB12" s="62"/>
      <c r="AC12" s="62"/>
      <c r="AD12" s="62"/>
      <c r="AE12" s="108"/>
      <c r="AF12" s="62"/>
      <c r="AG12" s="62"/>
      <c r="AH12" s="2" t="s">
        <v>33</v>
      </c>
      <c r="AI12" s="153" t="s">
        <v>58</v>
      </c>
      <c r="AJ12" s="4" t="s">
        <v>67</v>
      </c>
    </row>
    <row r="13" spans="1:39">
      <c r="B13" s="104"/>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105"/>
      <c r="AF13" s="3"/>
    </row>
    <row r="14" spans="1:39" s="78" customFormat="1" ht="16.5" customHeight="1">
      <c r="A14" s="171"/>
      <c r="B14" s="493" t="str">
        <f>IF(C12="English","２、Presence or absence of prohibited substances for customer requirements(added in Sheet 1) ",IF(C12="中文","２、是否存在客户要求违禁物质（附件1）","２、顧客要求禁止物質(別紙1追加)の有無"))</f>
        <v>２、顧客要求禁止物質(別紙1追加)の有無</v>
      </c>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494"/>
      <c r="AA14" s="494"/>
      <c r="AB14" s="494"/>
      <c r="AC14" s="494"/>
      <c r="AD14" s="494"/>
      <c r="AE14" s="106"/>
      <c r="AF14" s="76"/>
      <c r="AG14" s="77"/>
      <c r="AM14" s="79"/>
    </row>
    <row r="15" spans="1:39" s="78" customFormat="1" ht="90" customHeight="1">
      <c r="A15" s="171"/>
      <c r="B15" s="184"/>
      <c r="C15" s="301" t="str">
        <f>VLOOKUP(C12,AH10:AJ12,IF(C5="有り / with / 是",2,3),FALSE)</f>
        <v>顧客要求禁止物質は本帳票では指定しませんので、別紙1の記入・提出は不要です。
※但し、その他の依頼書に、当社顧客要求の禁止物質の記載がある場合は、
   その他の依頼書に従って禁止と致します。</v>
      </c>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106"/>
      <c r="AF15" s="76"/>
      <c r="AG15" s="77"/>
      <c r="AM15" s="79"/>
    </row>
    <row r="16" spans="1:39" s="78" customFormat="1" ht="13.5" customHeight="1">
      <c r="B16" s="185"/>
      <c r="C16" s="81"/>
      <c r="D16" s="81"/>
      <c r="E16" s="181"/>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7"/>
      <c r="AF16" s="183"/>
      <c r="AG16" s="181"/>
      <c r="AI16" s="80"/>
      <c r="AL16" s="80"/>
    </row>
    <row r="17" spans="1:41">
      <c r="B17" s="104" t="str">
        <f>IF(C12="English","３、Please fill in Certificate of Non-use of prohibited Substance below.",IF(C12="中文","３、以下，拜托填写禁止物质不使用证明书。","３、以下、禁止物質不使用証明書の記入をお願い致します。"))</f>
        <v>３、以下、禁止物質不使用証明書の記入をお願い致します。</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105"/>
      <c r="AF17" s="3"/>
    </row>
    <row r="18" spans="1:41" ht="16.2" thickBot="1">
      <c r="B18" s="109"/>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1"/>
      <c r="AF18" s="3"/>
    </row>
    <row r="19" spans="1:41">
      <c r="A19" s="495"/>
      <c r="B19" s="494"/>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3"/>
    </row>
    <row r="20" spans="1:41" ht="13.5" customHeight="1">
      <c r="B20" s="153" t="str">
        <f>'Certificate of Non-use'!B20</f>
        <v>9th</v>
      </c>
      <c r="X20" s="4"/>
      <c r="Y20" s="4"/>
      <c r="Z20" s="488"/>
      <c r="AA20" s="488"/>
      <c r="AB20" s="488"/>
      <c r="AC20" s="488"/>
      <c r="AD20" s="488"/>
      <c r="AE20" s="488"/>
    </row>
    <row r="21" spans="1:41" ht="10.050000000000001" customHeight="1">
      <c r="B21" s="483" t="str">
        <f>IF(C12="English","Certificate of Non-use of prohibited Substance",IF(C12="中文","禁用物质不使用证明书","禁止物質不使用証明書"))</f>
        <v>禁止物質不使用証明書</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row>
    <row r="22" spans="1:41" ht="10.050000000000001" customHeight="1">
      <c r="B22" s="443"/>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row>
    <row r="23" spans="1:41" ht="12" customHeight="1">
      <c r="C23" s="489"/>
      <c r="D23" s="489"/>
      <c r="E23" s="489"/>
      <c r="F23" s="489"/>
      <c r="G23" s="489"/>
      <c r="H23" s="489"/>
      <c r="I23" s="489"/>
      <c r="J23" s="489"/>
      <c r="K23" s="489"/>
      <c r="L23" s="489"/>
      <c r="M23" s="489"/>
      <c r="N23" s="489"/>
      <c r="O23" s="489"/>
      <c r="P23" s="489"/>
      <c r="Q23" s="489"/>
      <c r="R23" s="489"/>
      <c r="S23" s="489"/>
      <c r="T23" s="489"/>
      <c r="U23" s="489"/>
      <c r="V23" s="489"/>
      <c r="W23" s="188"/>
      <c r="X23" s="490"/>
      <c r="Y23" s="490"/>
      <c r="Z23" s="490"/>
      <c r="AA23" s="490"/>
      <c r="AB23" s="490"/>
      <c r="AC23" s="490"/>
      <c r="AD23" s="490"/>
      <c r="AE23" s="490"/>
      <c r="AO23" s="3"/>
    </row>
    <row r="24" spans="1:41" ht="20.100000000000001" customHeight="1">
      <c r="B24" s="491"/>
      <c r="C24" s="492"/>
      <c r="D24" s="492"/>
      <c r="E24" s="492"/>
      <c r="F24" s="492"/>
      <c r="G24" s="492"/>
      <c r="H24" s="492"/>
      <c r="I24" s="492"/>
      <c r="J24" s="492"/>
      <c r="K24" s="492"/>
      <c r="L24" s="492"/>
      <c r="M24" s="492"/>
      <c r="N24" s="492"/>
      <c r="O24" s="492"/>
      <c r="P24" s="6"/>
      <c r="U24" s="3"/>
      <c r="V24" s="83"/>
      <c r="W24" s="83"/>
      <c r="X24" s="83"/>
      <c r="Y24" s="83"/>
      <c r="Z24" s="7"/>
      <c r="AA24" s="7"/>
      <c r="AB24" s="7"/>
      <c r="AC24" s="7"/>
      <c r="AD24" s="7"/>
      <c r="AE24" s="7"/>
      <c r="AO24" s="3"/>
    </row>
    <row r="25" spans="1:41" ht="20.100000000000001" customHeight="1">
      <c r="B25" s="496"/>
      <c r="C25" s="497"/>
      <c r="D25" s="497"/>
      <c r="E25" s="497"/>
      <c r="F25" s="497"/>
      <c r="G25" s="497"/>
      <c r="H25" s="497"/>
      <c r="I25" s="497"/>
      <c r="J25" s="497"/>
      <c r="K25" s="497"/>
      <c r="L25" s="497"/>
      <c r="M25" s="497"/>
      <c r="N25" s="497"/>
      <c r="O25" s="498"/>
      <c r="P25" s="3"/>
      <c r="AI25" s="8"/>
      <c r="AK25" s="8"/>
      <c r="AL25" s="8"/>
      <c r="AM25" s="8"/>
      <c r="AN25" s="8"/>
      <c r="AO25" s="3"/>
    </row>
    <row r="26" spans="1:41" ht="10.050000000000001" customHeight="1">
      <c r="B26" s="434"/>
      <c r="C26" s="434"/>
      <c r="D26" s="434"/>
      <c r="E26" s="434"/>
      <c r="F26" s="434"/>
      <c r="G26" s="434"/>
      <c r="H26" s="9"/>
      <c r="I26" s="157"/>
      <c r="J26" s="157"/>
      <c r="K26" s="157"/>
      <c r="L26" s="157"/>
      <c r="M26" s="152"/>
      <c r="N26" s="157"/>
      <c r="O26" s="157"/>
      <c r="P26" s="83"/>
      <c r="T26" s="152"/>
      <c r="U26" s="429"/>
      <c r="V26" s="429"/>
      <c r="W26" s="429"/>
      <c r="X26" s="429"/>
      <c r="Y26" s="429"/>
      <c r="Z26" s="429"/>
      <c r="AA26" s="429"/>
      <c r="AB26" s="429"/>
      <c r="AC26" s="429"/>
      <c r="AD26" s="429"/>
      <c r="AE26" s="429"/>
      <c r="AI26" s="8"/>
      <c r="AJ26" s="8"/>
      <c r="AK26" s="8"/>
      <c r="AL26" s="8"/>
      <c r="AM26" s="8"/>
      <c r="AN26" s="8"/>
    </row>
    <row r="27" spans="1:41" ht="15" customHeight="1">
      <c r="B27" s="84" t="str">
        <f>IF(C12="English","Manufacturer to fill out",IF(C12="中文","[提出源记入栏］","[提出元記入欄］"))</f>
        <v>[提出元記入欄］</v>
      </c>
      <c r="C27" s="5"/>
      <c r="E27" s="5"/>
      <c r="F27" s="5"/>
      <c r="G27" s="189"/>
      <c r="H27" s="83"/>
      <c r="I27" s="10"/>
      <c r="J27" s="10"/>
      <c r="K27" s="3"/>
      <c r="L27" s="3"/>
      <c r="P27" s="84"/>
      <c r="Q27" s="11"/>
      <c r="R27" s="11"/>
      <c r="S27" s="12"/>
      <c r="T27" s="190"/>
      <c r="AH27" s="8"/>
      <c r="AI27" s="8"/>
      <c r="AJ27" s="8"/>
      <c r="AK27" s="8"/>
      <c r="AL27" s="8"/>
      <c r="AM27" s="8"/>
      <c r="AN27" s="8"/>
    </row>
    <row r="28" spans="1:41" ht="22.05" customHeight="1">
      <c r="A28" s="3"/>
      <c r="B28" s="487" t="str">
        <f>IF(C12="English","Date(yy.mm.dd)",IF(C12="中文","发行日","発行日"))</f>
        <v>発行日</v>
      </c>
      <c r="C28" s="485"/>
      <c r="D28" s="485"/>
      <c r="E28" s="485"/>
      <c r="F28" s="485"/>
      <c r="G28" s="486"/>
      <c r="H28" s="447" t="s">
        <v>25</v>
      </c>
      <c r="I28" s="471"/>
      <c r="J28" s="471"/>
      <c r="K28" s="471"/>
      <c r="L28" s="471"/>
      <c r="M28" s="471"/>
      <c r="N28" s="471"/>
      <c r="O28" s="471"/>
      <c r="P28" s="471"/>
      <c r="Q28" s="484" t="str">
        <f>IF(C12="English","E-mail",IF(C12="中文","邮箱地址","メールアドレス"))</f>
        <v>メールアドレス</v>
      </c>
      <c r="R28" s="485"/>
      <c r="S28" s="485"/>
      <c r="T28" s="485"/>
      <c r="U28" s="485"/>
      <c r="V28" s="486"/>
      <c r="W28" s="447" t="s">
        <v>24</v>
      </c>
      <c r="X28" s="448"/>
      <c r="Y28" s="448"/>
      <c r="Z28" s="448"/>
      <c r="AA28" s="448"/>
      <c r="AB28" s="448"/>
      <c r="AC28" s="448"/>
      <c r="AD28" s="448"/>
      <c r="AE28" s="448"/>
      <c r="AH28" s="8"/>
      <c r="AI28" s="8"/>
      <c r="AJ28" s="8"/>
      <c r="AK28" s="8"/>
      <c r="AL28" s="8"/>
      <c r="AM28" s="8"/>
      <c r="AN28" s="8"/>
    </row>
    <row r="29" spans="1:41" ht="22.05" customHeight="1">
      <c r="A29" s="3"/>
      <c r="B29" s="487" t="str">
        <f>IF(C12="English","Company name",IF(C12="中文","公司名称","会社名"))</f>
        <v>会社名</v>
      </c>
      <c r="C29" s="485"/>
      <c r="D29" s="485"/>
      <c r="E29" s="485"/>
      <c r="F29" s="485"/>
      <c r="G29" s="486"/>
      <c r="H29" s="499" t="s">
        <v>25</v>
      </c>
      <c r="I29" s="448"/>
      <c r="J29" s="448"/>
      <c r="K29" s="448"/>
      <c r="L29" s="448"/>
      <c r="M29" s="448"/>
      <c r="N29" s="448"/>
      <c r="O29" s="448"/>
      <c r="P29" s="500"/>
      <c r="Q29" s="484" t="str">
        <f>IF(C12="English","Phone number",IF(C12="中文","电话号码","電話番号"))</f>
        <v>電話番号</v>
      </c>
      <c r="R29" s="485"/>
      <c r="S29" s="485"/>
      <c r="T29" s="485"/>
      <c r="U29" s="485"/>
      <c r="V29" s="486"/>
      <c r="W29" s="447" t="s">
        <v>24</v>
      </c>
      <c r="X29" s="448"/>
      <c r="Y29" s="448"/>
      <c r="Z29" s="448"/>
      <c r="AA29" s="448"/>
      <c r="AB29" s="448"/>
      <c r="AC29" s="448"/>
      <c r="AD29" s="448"/>
      <c r="AE29" s="448"/>
      <c r="AH29" s="8"/>
      <c r="AI29" s="8"/>
      <c r="AJ29" s="8"/>
      <c r="AK29" s="8"/>
      <c r="AL29" s="8"/>
      <c r="AM29" s="8"/>
      <c r="AN29" s="8"/>
    </row>
    <row r="30" spans="1:41" ht="22.05" customHeight="1">
      <c r="A30" s="3"/>
      <c r="B30" s="501" t="str">
        <f>IF(C12="English","Division name",IF(C12="中文","部门名称","部署名"))</f>
        <v>部署名</v>
      </c>
      <c r="C30" s="501"/>
      <c r="D30" s="501"/>
      <c r="E30" s="501"/>
      <c r="F30" s="501"/>
      <c r="G30" s="502"/>
      <c r="H30" s="465" t="s">
        <v>24</v>
      </c>
      <c r="I30" s="466"/>
      <c r="J30" s="466"/>
      <c r="K30" s="466"/>
      <c r="L30" s="466"/>
      <c r="M30" s="466"/>
      <c r="N30" s="466"/>
      <c r="O30" s="466"/>
      <c r="P30" s="466"/>
      <c r="Q30" s="479" t="str">
        <f>IF(C12="English","Responsible person",IF(C12="中文","责任者名","責任者名"))</f>
        <v>責任者名</v>
      </c>
      <c r="R30" s="480"/>
      <c r="S30" s="480"/>
      <c r="T30" s="480"/>
      <c r="U30" s="480"/>
      <c r="V30" s="481"/>
      <c r="W30" s="465" t="s">
        <v>24</v>
      </c>
      <c r="X30" s="467"/>
      <c r="Y30" s="467"/>
      <c r="Z30" s="467"/>
      <c r="AA30" s="467"/>
      <c r="AB30" s="467"/>
      <c r="AC30" s="467"/>
      <c r="AD30" s="467"/>
      <c r="AE30" s="467"/>
      <c r="AH30" s="8"/>
      <c r="AI30" s="8"/>
      <c r="AJ30" s="8"/>
      <c r="AK30" s="8"/>
      <c r="AL30" s="8"/>
      <c r="AM30" s="8"/>
      <c r="AN30" s="8"/>
    </row>
    <row r="31" spans="1:41" ht="22.05" customHeight="1">
      <c r="B31" s="487" t="str">
        <f>IF(C12="English","Written by",IF(C12="中文","填写者名","記入者名"))</f>
        <v>記入者名</v>
      </c>
      <c r="C31" s="485"/>
      <c r="D31" s="485"/>
      <c r="E31" s="485"/>
      <c r="F31" s="485"/>
      <c r="G31" s="486"/>
      <c r="H31" s="447" t="s">
        <v>25</v>
      </c>
      <c r="I31" s="448"/>
      <c r="J31" s="448"/>
      <c r="K31" s="448"/>
      <c r="L31" s="448"/>
      <c r="M31" s="448"/>
      <c r="N31" s="448"/>
      <c r="O31" s="448"/>
      <c r="P31" s="448"/>
      <c r="Q31" s="468" t="str">
        <f>IF(C12="English"," Signature",IF(C12="中文","盖章","印　／　サイン"))</f>
        <v>印　／　サイン</v>
      </c>
      <c r="R31" s="469"/>
      <c r="S31" s="469"/>
      <c r="T31" s="469"/>
      <c r="U31" s="469"/>
      <c r="V31" s="470"/>
      <c r="W31" s="482"/>
      <c r="X31" s="448"/>
      <c r="Y31" s="448"/>
      <c r="Z31" s="448"/>
      <c r="AA31" s="448"/>
      <c r="AB31" s="448"/>
      <c r="AC31" s="448"/>
      <c r="AD31" s="155" t="str">
        <f>IF(C12="English","",IF(C12="中文","盖章","印"))</f>
        <v>印</v>
      </c>
      <c r="AE31" s="156"/>
    </row>
    <row r="32" spans="1:41" ht="10.050000000000001" customHeight="1">
      <c r="J32" s="83"/>
      <c r="K32" s="10"/>
      <c r="L32" s="10"/>
      <c r="M32" s="10"/>
      <c r="Y32" s="191"/>
    </row>
    <row r="33" spans="1:63" ht="14.55" customHeight="1">
      <c r="A33" s="84"/>
      <c r="B33" s="566" t="str">
        <f>IF(C12="English",AH34,IF(C12="中文",AH35,AH33))</f>
        <v>　弊社は、弊社が貴社に納入する部品、部材、部品ユニット、原材料、原材料の加工品、副資材および貴社製品の出荷用包装材に、貴社の｢ミネベアミツミグループグリーン調達管理要領EM10507 第9版｣(以下、EM10507と言う)で要求している禁止物質および別紙１「顧客要求禁止物質リスト」又は別紙1に相当するその他の依頼書の中で対象とされている物質に対し、下記2項を除き、使用していないことを保証致します。
　貴社規制値が記載されている化学物質に関しましては、記載規制値を超えたと貴社が判断し連絡を受けた場合または、法規制値を超えたと弊社が確認した場合は貴社に連絡し、貴社と協議を致します。
  また、弊社が貴社へ納入品を出荷する際に用いる包装材は EM10507 の3-8項の要求事項に適合していることを保証致します。</v>
      </c>
      <c r="C33" s="566"/>
      <c r="D33" s="566"/>
      <c r="E33" s="566"/>
      <c r="F33" s="566"/>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84"/>
      <c r="AG33" s="157"/>
      <c r="AH33" s="139" t="s">
        <v>82</v>
      </c>
    </row>
    <row r="34" spans="1:63" ht="14.55" customHeight="1">
      <c r="A34" s="84"/>
      <c r="B34" s="566"/>
      <c r="C34" s="566"/>
      <c r="D34" s="566"/>
      <c r="E34" s="566"/>
      <c r="F34" s="566"/>
      <c r="G34" s="566"/>
      <c r="H34" s="566"/>
      <c r="I34" s="566"/>
      <c r="J34" s="566"/>
      <c r="K34" s="566"/>
      <c r="L34" s="566"/>
      <c r="M34" s="566"/>
      <c r="N34" s="566"/>
      <c r="O34" s="566"/>
      <c r="P34" s="566"/>
      <c r="Q34" s="566"/>
      <c r="R34" s="566"/>
      <c r="S34" s="566"/>
      <c r="T34" s="566"/>
      <c r="U34" s="566"/>
      <c r="V34" s="566"/>
      <c r="W34" s="566"/>
      <c r="X34" s="566"/>
      <c r="Y34" s="566"/>
      <c r="Z34" s="566"/>
      <c r="AA34" s="566"/>
      <c r="AB34" s="566"/>
      <c r="AC34" s="566"/>
      <c r="AD34" s="566"/>
      <c r="AE34" s="566"/>
      <c r="AF34" s="84"/>
      <c r="AG34" s="157"/>
      <c r="AH34" s="128" t="s">
        <v>83</v>
      </c>
    </row>
    <row r="35" spans="1:63" ht="14.55" customHeight="1">
      <c r="A35" s="84"/>
      <c r="B35" s="566"/>
      <c r="C35" s="566"/>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84"/>
      <c r="AG35" s="157"/>
      <c r="AH35" s="139" t="s">
        <v>84</v>
      </c>
    </row>
    <row r="36" spans="1:63" ht="14.55" customHeight="1">
      <c r="A36" s="84"/>
      <c r="B36" s="566"/>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84"/>
      <c r="AG36" s="157"/>
      <c r="AH36" s="139"/>
    </row>
    <row r="37" spans="1:63" ht="14.55" customHeight="1">
      <c r="A37" s="84"/>
      <c r="B37" s="566"/>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66"/>
      <c r="AD37" s="566"/>
      <c r="AE37" s="566"/>
      <c r="AF37" s="84"/>
      <c r="AG37" s="157"/>
    </row>
    <row r="38" spans="1:63" ht="14.55" customHeight="1">
      <c r="A38" s="84"/>
      <c r="B38" s="566"/>
      <c r="C38" s="566"/>
      <c r="D38" s="566"/>
      <c r="E38" s="566"/>
      <c r="F38" s="566"/>
      <c r="G38" s="566"/>
      <c r="H38" s="566"/>
      <c r="I38" s="566"/>
      <c r="J38" s="566"/>
      <c r="K38" s="566"/>
      <c r="L38" s="566"/>
      <c r="M38" s="566"/>
      <c r="N38" s="566"/>
      <c r="O38" s="566"/>
      <c r="P38" s="566"/>
      <c r="Q38" s="566"/>
      <c r="R38" s="566"/>
      <c r="S38" s="566"/>
      <c r="T38" s="566"/>
      <c r="U38" s="566"/>
      <c r="V38" s="566"/>
      <c r="W38" s="566"/>
      <c r="X38" s="566"/>
      <c r="Y38" s="566"/>
      <c r="Z38" s="566"/>
      <c r="AA38" s="566"/>
      <c r="AB38" s="566"/>
      <c r="AC38" s="566"/>
      <c r="AD38" s="566"/>
      <c r="AE38" s="566"/>
      <c r="AF38" s="84"/>
      <c r="AH38" s="192"/>
      <c r="AI38" s="157"/>
    </row>
    <row r="39" spans="1:63" ht="14.55" customHeight="1">
      <c r="A39" s="84"/>
      <c r="B39" s="566"/>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84"/>
      <c r="AH39" s="192"/>
      <c r="AI39" s="157"/>
    </row>
    <row r="40" spans="1:63" ht="14.55" customHeight="1">
      <c r="A40" s="84"/>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84"/>
      <c r="AH40" s="192"/>
      <c r="AI40" s="157"/>
    </row>
    <row r="41" spans="1:63" ht="14.55" customHeight="1">
      <c r="A41" s="84"/>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84"/>
      <c r="AH41" s="192"/>
      <c r="AI41" s="157"/>
    </row>
    <row r="42" spans="1:63" ht="14.55" customHeight="1">
      <c r="A42" s="84"/>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84"/>
      <c r="AG42" s="13"/>
      <c r="AH42" s="13"/>
      <c r="AI42" s="3"/>
      <c r="AJ42" s="3"/>
      <c r="AK42" s="3"/>
      <c r="AL42" s="3"/>
      <c r="AM42" s="3"/>
      <c r="AN42" s="3"/>
    </row>
    <row r="43" spans="1:63" ht="5.0999999999999996" customHeight="1">
      <c r="A43" s="83"/>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4"/>
      <c r="AG43" s="13"/>
      <c r="AK43" s="3"/>
      <c r="AL43" s="3"/>
      <c r="AM43" s="3"/>
      <c r="AN43" s="3"/>
    </row>
    <row r="44" spans="1:63" s="144" customFormat="1" ht="30" customHeight="1">
      <c r="A44" s="193"/>
      <c r="B44" s="568" t="str">
        <f>VLOOKUP(C12,AH44:AJ47,IF(C5="有り / with / 是",2,3),FALSE)</f>
        <v xml:space="preserve"> 別紙1 の有無：無し</v>
      </c>
      <c r="C44" s="569"/>
      <c r="D44" s="569"/>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69"/>
      <c r="AD44" s="569"/>
      <c r="AE44" s="569"/>
      <c r="AF44" s="569"/>
      <c r="AG44" s="141"/>
      <c r="AH44" s="142" t="s">
        <v>32</v>
      </c>
      <c r="AI44" s="143" t="s">
        <v>56</v>
      </c>
      <c r="AJ44" s="144" t="s">
        <v>55</v>
      </c>
      <c r="AM44" s="145"/>
    </row>
    <row r="45" spans="1:63" s="144" customFormat="1" ht="10.050000000000001" customHeight="1">
      <c r="A45" s="193"/>
      <c r="B45" s="200"/>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41"/>
      <c r="AH45" s="142"/>
      <c r="AI45" s="143"/>
      <c r="AM45" s="145"/>
    </row>
    <row r="46" spans="1:63" ht="16.05" customHeight="1">
      <c r="A46" s="195"/>
      <c r="B46" s="451" t="str">
        <f>IF(C12="English","Address where EM10507 is posted",IF(C12="中文","EM10507的揭示地址","EM10507 掲載アドレス"))</f>
        <v>EM10507 掲載アドレス</v>
      </c>
      <c r="C46" s="451"/>
      <c r="D46" s="451"/>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G46" s="157"/>
      <c r="AH46" s="2" t="s">
        <v>31</v>
      </c>
      <c r="AI46" s="130" t="s">
        <v>51</v>
      </c>
      <c r="AJ46" s="8" t="s">
        <v>52</v>
      </c>
      <c r="AK46" s="100"/>
      <c r="AL46" s="100"/>
      <c r="AM46" s="100"/>
      <c r="AN46" s="100"/>
      <c r="AO46" s="14"/>
      <c r="AP46" s="14"/>
      <c r="AQ46" s="14"/>
      <c r="AR46" s="14"/>
      <c r="AS46" s="14"/>
      <c r="AT46" s="14"/>
      <c r="AU46" s="14"/>
      <c r="AV46" s="14"/>
      <c r="AW46" s="14"/>
      <c r="AX46" s="14"/>
      <c r="AY46" s="14"/>
      <c r="AZ46" s="14"/>
      <c r="BA46" s="14"/>
      <c r="BB46" s="14"/>
      <c r="BC46" s="14"/>
      <c r="BD46" s="14"/>
      <c r="BE46" s="14"/>
      <c r="BF46" s="14"/>
      <c r="BG46" s="14"/>
      <c r="BH46" s="14"/>
      <c r="BI46" s="14"/>
      <c r="BJ46" s="14"/>
      <c r="BK46" s="14"/>
    </row>
    <row r="47" spans="1:63" ht="16.05" customHeight="1">
      <c r="A47" s="195"/>
      <c r="B47" s="570" t="s">
        <v>49</v>
      </c>
      <c r="C47" s="571"/>
      <c r="D47" s="571"/>
      <c r="E47" s="571"/>
      <c r="F47" s="571"/>
      <c r="G47" s="571"/>
      <c r="H47" s="571"/>
      <c r="I47" s="571"/>
      <c r="J47" s="571"/>
      <c r="K47" s="571"/>
      <c r="L47" s="571"/>
      <c r="M47" s="571"/>
      <c r="N47" s="571"/>
      <c r="O47" s="571"/>
      <c r="P47" s="571"/>
      <c r="Q47" s="571"/>
      <c r="R47" s="571"/>
      <c r="S47" s="571"/>
      <c r="T47" s="571"/>
      <c r="U47" s="571"/>
      <c r="V47" s="571"/>
      <c r="W47" s="571"/>
      <c r="X47" s="571"/>
      <c r="Y47" s="571"/>
      <c r="Z47" s="571"/>
      <c r="AA47" s="60"/>
      <c r="AB47" s="61"/>
      <c r="AC47" s="61"/>
      <c r="AD47" s="61"/>
      <c r="AE47" s="61"/>
      <c r="AF47" s="8"/>
      <c r="AG47" s="196"/>
      <c r="AH47" s="2" t="s">
        <v>33</v>
      </c>
      <c r="AI47" s="130" t="s">
        <v>60</v>
      </c>
      <c r="AJ47" s="4" t="s">
        <v>59</v>
      </c>
      <c r="AK47" s="3"/>
      <c r="AL47" s="100"/>
      <c r="AM47" s="100"/>
      <c r="AN47" s="100"/>
      <c r="AO47" s="14"/>
      <c r="AP47" s="14"/>
      <c r="AQ47" s="14"/>
      <c r="AR47" s="14"/>
      <c r="AS47" s="14"/>
      <c r="AT47" s="14"/>
      <c r="AU47" s="14"/>
      <c r="AV47" s="14"/>
      <c r="AW47" s="14"/>
      <c r="AX47" s="14"/>
      <c r="AY47" s="14"/>
      <c r="AZ47" s="14"/>
      <c r="BA47" s="14"/>
      <c r="BB47" s="14"/>
      <c r="BC47" s="14"/>
      <c r="BD47" s="14"/>
      <c r="BE47" s="14"/>
      <c r="BF47" s="14"/>
      <c r="BG47" s="14"/>
      <c r="BH47" s="14"/>
      <c r="BI47" s="14"/>
      <c r="BJ47" s="14"/>
    </row>
    <row r="48" spans="1:63" s="78" customFormat="1" ht="10.050000000000001" customHeight="1">
      <c r="A48" s="171"/>
      <c r="B48" s="70"/>
      <c r="C48" s="71"/>
      <c r="D48" s="72"/>
      <c r="E48" s="73"/>
      <c r="F48" s="73"/>
      <c r="G48" s="73"/>
      <c r="H48" s="70"/>
      <c r="I48" s="73"/>
      <c r="J48" s="73"/>
      <c r="K48" s="71"/>
      <c r="L48" s="73"/>
      <c r="M48" s="73"/>
      <c r="N48" s="73"/>
      <c r="O48" s="73"/>
      <c r="P48" s="73"/>
      <c r="Q48" s="72"/>
      <c r="R48" s="74"/>
      <c r="S48" s="73"/>
      <c r="T48" s="75"/>
      <c r="U48" s="76"/>
      <c r="V48" s="77"/>
      <c r="W48" s="77"/>
      <c r="X48" s="77"/>
      <c r="Y48" s="77"/>
      <c r="Z48" s="74"/>
      <c r="AA48" s="71"/>
      <c r="AB48" s="71"/>
      <c r="AC48" s="77"/>
      <c r="AD48" s="77"/>
      <c r="AE48" s="77"/>
      <c r="AF48" s="76"/>
      <c r="AG48" s="77"/>
      <c r="AI48" s="79"/>
      <c r="AM48" s="79"/>
    </row>
    <row r="49" spans="1:39" ht="14.55" customHeight="1">
      <c r="A49" s="15"/>
      <c r="B49" s="16" t="str">
        <f>IF(C12="English","1．Part name or Part number",IF(C12="中文","1．品名・品番号・图番号・条款编号","1．品名・品番・図番・アイテムコード"))</f>
        <v>1．品名・品番・図番・アイテムコード</v>
      </c>
      <c r="C49" s="15"/>
      <c r="G49" s="17"/>
      <c r="N49" s="84"/>
      <c r="AG49" s="83"/>
    </row>
    <row r="50" spans="1:39" ht="24" customHeight="1">
      <c r="C50" s="452" t="str">
        <f>IF(C12="English","Our part name, Manufacturer :",IF(C12="中文","本公司品名(厂家名):","弊社品名(ﾒｰｶｰ名)："))</f>
        <v>弊社品名(ﾒｰｶｰ名)：</v>
      </c>
      <c r="D50" s="453"/>
      <c r="E50" s="453"/>
      <c r="F50" s="453"/>
      <c r="G50" s="453"/>
      <c r="H50" s="454"/>
      <c r="I50" s="455"/>
      <c r="J50" s="455"/>
      <c r="K50" s="455"/>
      <c r="L50" s="455"/>
      <c r="M50" s="455"/>
      <c r="N50" s="455"/>
      <c r="O50" s="455"/>
      <c r="P50" s="455"/>
      <c r="R50" s="456" t="str">
        <f>IF(C12="English","Our part, Drawing number :",IF(C12="中文","本公司品番号, 图番 :","弊社品番,図番等："))</f>
        <v>弊社品番,図番等：</v>
      </c>
      <c r="S50" s="453"/>
      <c r="T50" s="453"/>
      <c r="U50" s="453"/>
      <c r="V50" s="453"/>
      <c r="W50" s="454"/>
      <c r="X50" s="455"/>
      <c r="Y50" s="455"/>
      <c r="Z50" s="455"/>
      <c r="AA50" s="455"/>
      <c r="AB50" s="455"/>
      <c r="AC50" s="455"/>
      <c r="AD50" s="455"/>
      <c r="AE50" s="455"/>
      <c r="AG50" s="59"/>
    </row>
    <row r="51" spans="1:39" ht="24" customHeight="1">
      <c r="C51" s="438" t="str">
        <f>IF(C12="English","MinebeaMitsumi part name :",IF(C12="中文","美蓓亚三美G 品名:","ﾐﾈﾍﾞｱﾐﾂﾐG品名："))</f>
        <v>ﾐﾈﾍﾞｱﾐﾂﾐG品名：</v>
      </c>
      <c r="D51" s="438"/>
      <c r="E51" s="438"/>
      <c r="F51" s="438"/>
      <c r="G51" s="438"/>
      <c r="H51" s="439"/>
      <c r="I51" s="440"/>
      <c r="J51" s="440"/>
      <c r="K51" s="440"/>
      <c r="L51" s="440"/>
      <c r="M51" s="440"/>
      <c r="N51" s="440"/>
      <c r="O51" s="440"/>
      <c r="P51" s="440"/>
      <c r="Q51" s="3"/>
      <c r="R51" s="438" t="str">
        <f>IF(C12="English","MinebeaMitsumi G part RN :",IF(C12="中文","美蓓亚三美G 品番:","ﾐﾈﾍﾞｱﾐﾂﾐG品番："))</f>
        <v>ﾐﾈﾍﾞｱﾐﾂﾐG品番：</v>
      </c>
      <c r="S51" s="438"/>
      <c r="T51" s="438"/>
      <c r="U51" s="438"/>
      <c r="V51" s="438"/>
      <c r="W51" s="441"/>
      <c r="X51" s="440"/>
      <c r="Y51" s="440"/>
      <c r="Z51" s="440"/>
      <c r="AA51" s="440"/>
      <c r="AB51" s="440"/>
      <c r="AC51" s="440"/>
      <c r="AD51" s="440"/>
      <c r="AE51" s="440"/>
      <c r="AG51" s="83"/>
    </row>
    <row r="52" spans="1:39" ht="24" customHeight="1">
      <c r="C52" s="474" t="str">
        <f>IF(C12="English","MinebeaMitsumi Drawing RN :",IF(C12="中文","美蓓亚三美G 图番","ﾐﾈﾍﾞｱﾐﾂﾐG図番："))</f>
        <v>ﾐﾈﾍﾞｱﾐﾂﾐG図番：</v>
      </c>
      <c r="D52" s="474"/>
      <c r="E52" s="474"/>
      <c r="F52" s="474"/>
      <c r="G52" s="474"/>
      <c r="H52" s="439"/>
      <c r="I52" s="440"/>
      <c r="J52" s="440"/>
      <c r="K52" s="440"/>
      <c r="L52" s="440"/>
      <c r="M52" s="440"/>
      <c r="N52" s="440"/>
      <c r="O52" s="440"/>
      <c r="P52" s="440"/>
      <c r="Q52" s="3"/>
      <c r="R52" s="475" t="str">
        <f>IF(C12="English","MinebeaMitsumi Item code :",IF(C12="中文","美蓓亚三美条款编号","ﾐﾈﾍﾞｱﾐﾂﾐGｱｲﾃﾑｺｰﾄﾞ："))</f>
        <v>ﾐﾈﾍﾞｱﾐﾂﾐGｱｲﾃﾑｺｰﾄﾞ：</v>
      </c>
      <c r="S52" s="474"/>
      <c r="T52" s="474"/>
      <c r="U52" s="474"/>
      <c r="V52" s="474"/>
      <c r="W52" s="441"/>
      <c r="X52" s="440"/>
      <c r="Y52" s="440"/>
      <c r="Z52" s="440"/>
      <c r="AA52" s="440"/>
      <c r="AB52" s="440"/>
      <c r="AC52" s="440"/>
      <c r="AD52" s="440"/>
      <c r="AE52" s="440"/>
      <c r="AG52" s="83"/>
      <c r="AM52" s="14"/>
    </row>
    <row r="53" spans="1:39" ht="10.050000000000001" customHeight="1">
      <c r="D53" s="18"/>
      <c r="E53" s="3"/>
      <c r="F53" s="3"/>
      <c r="G53" s="3"/>
      <c r="H53" s="5"/>
      <c r="I53" s="5"/>
      <c r="J53" s="5"/>
      <c r="K53" s="5"/>
      <c r="L53" s="5"/>
      <c r="M53" s="5"/>
      <c r="N53" s="5"/>
      <c r="O53" s="17"/>
      <c r="P53" s="19"/>
      <c r="Q53" s="7"/>
      <c r="R53" s="7"/>
      <c r="S53" s="5"/>
      <c r="T53" s="5"/>
      <c r="U53" s="5"/>
      <c r="V53" s="5"/>
      <c r="W53" s="5"/>
      <c r="X53" s="5"/>
      <c r="Y53" s="5"/>
      <c r="Z53" s="5"/>
      <c r="AA53" s="5"/>
      <c r="AB53" s="5"/>
    </row>
    <row r="54" spans="1:39" ht="16.05" customHeight="1">
      <c r="B54" s="20"/>
      <c r="C54" s="435"/>
      <c r="D54" s="435"/>
      <c r="E54" s="574" t="str">
        <f>IF(C12="English","Certificate of Non-use list is attached due to the large number of parts being reported on(also Clause 2）",IF(C12="中文","由于部品数量多，附上不使用证明书一览表并报告(包含2项)。","部品が多数のため不使用証明書リストを添付して報告します(2項を含む)。"))</f>
        <v>部品が多数のため不使用証明書リストを添付して報告します(2項を含む)。</v>
      </c>
      <c r="F54" s="575"/>
      <c r="G54" s="575"/>
      <c r="H54" s="575"/>
      <c r="I54" s="575"/>
      <c r="J54" s="575"/>
      <c r="K54" s="575"/>
      <c r="L54" s="575"/>
      <c r="M54" s="575"/>
      <c r="N54" s="575"/>
      <c r="O54" s="575"/>
      <c r="P54" s="575"/>
      <c r="Q54" s="575"/>
      <c r="R54" s="575"/>
      <c r="S54" s="575"/>
      <c r="T54" s="575"/>
      <c r="U54" s="575"/>
      <c r="V54" s="575"/>
      <c r="W54" s="575"/>
      <c r="X54" s="575"/>
      <c r="Y54" s="575"/>
      <c r="Z54" s="576"/>
      <c r="AA54" s="576"/>
      <c r="AB54" s="576"/>
      <c r="AC54" s="576"/>
      <c r="AD54" s="576"/>
      <c r="AE54" s="576"/>
      <c r="AH54" s="3"/>
      <c r="AK54" s="3"/>
    </row>
    <row r="55" spans="1:39" ht="10.050000000000001" customHeight="1">
      <c r="D55" s="18"/>
      <c r="E55" s="3"/>
      <c r="F55" s="3"/>
      <c r="G55" s="3"/>
      <c r="H55" s="5"/>
      <c r="I55" s="5"/>
      <c r="J55" s="5"/>
      <c r="K55" s="5"/>
      <c r="L55" s="5"/>
      <c r="M55" s="5"/>
      <c r="N55" s="5"/>
      <c r="O55" s="17"/>
      <c r="P55" s="19"/>
      <c r="Q55" s="7"/>
      <c r="R55" s="7"/>
      <c r="S55" s="5"/>
      <c r="T55" s="5"/>
      <c r="U55" s="5"/>
      <c r="V55" s="5"/>
      <c r="W55" s="5"/>
      <c r="X55" s="5"/>
      <c r="Y55" s="5"/>
      <c r="Z55" s="5"/>
      <c r="AA55" s="5"/>
      <c r="AB55" s="5"/>
    </row>
    <row r="56" spans="1:39" ht="15" customHeight="1">
      <c r="B56" s="20" t="str">
        <f>IF(C12="English","2．RoHS directive Exemptions",IF(C12="中文","2．RoHS指令适用除外用途","2．RoHS指令 適用除外用途"))</f>
        <v>2．RoHS指令 適用除外用途</v>
      </c>
      <c r="C56" s="21"/>
      <c r="D56" s="157"/>
      <c r="E56" s="8"/>
      <c r="F56" s="8"/>
      <c r="G56" s="8"/>
      <c r="H56" s="20"/>
      <c r="I56" s="8"/>
      <c r="J56" s="8"/>
      <c r="K56" s="21"/>
      <c r="L56" s="21"/>
      <c r="M56" s="8"/>
      <c r="N56" s="8"/>
      <c r="O56" s="8"/>
      <c r="P56" s="8"/>
      <c r="Q56" s="152"/>
      <c r="R56" s="8"/>
      <c r="S56" s="22"/>
      <c r="T56" s="4"/>
      <c r="U56" s="13"/>
      <c r="V56" s="13"/>
      <c r="W56" s="13"/>
      <c r="X56" s="152"/>
      <c r="Y56" s="21"/>
      <c r="Z56" s="21"/>
      <c r="AA56" s="13"/>
      <c r="AB56" s="13"/>
      <c r="AC56" s="13"/>
      <c r="AD56" s="13"/>
      <c r="AE56" s="4"/>
    </row>
    <row r="57" spans="1:39" ht="16.05" customHeight="1">
      <c r="B57" s="20"/>
      <c r="C57" s="435"/>
      <c r="D57" s="435"/>
      <c r="E57" s="442" t="str">
        <f>IF(C12="English","RoHS directive prohibited substance under the scope of exemptions is not used.",IF(C12="中文","没有符合适用除外的部材","適用除外に該当する部材はありません。"))</f>
        <v>適用除外に該当する部材はありません。</v>
      </c>
      <c r="F57" s="458"/>
      <c r="G57" s="458"/>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K57" s="84"/>
    </row>
    <row r="58" spans="1:39" ht="10.050000000000001" customHeight="1">
      <c r="B58" s="20"/>
      <c r="C58" s="21"/>
      <c r="D58" s="157"/>
      <c r="E58" s="8"/>
      <c r="F58" s="8"/>
      <c r="G58" s="8"/>
      <c r="H58" s="20"/>
      <c r="I58" s="8"/>
      <c r="J58" s="8"/>
      <c r="K58" s="21"/>
      <c r="L58" s="21"/>
      <c r="M58" s="8"/>
      <c r="N58" s="8"/>
      <c r="O58" s="8"/>
      <c r="P58" s="8"/>
      <c r="Q58" s="152"/>
      <c r="R58" s="8"/>
      <c r="S58" s="22"/>
      <c r="T58" s="4"/>
      <c r="U58" s="13"/>
      <c r="V58" s="13"/>
      <c r="W58" s="13"/>
      <c r="X58" s="152"/>
      <c r="Y58" s="21"/>
      <c r="Z58" s="21"/>
      <c r="AA58" s="13"/>
      <c r="AB58" s="13"/>
      <c r="AC58" s="13"/>
      <c r="AD58" s="13"/>
      <c r="AE58" s="4"/>
    </row>
    <row r="59" spans="1:39" ht="16.05" customHeight="1">
      <c r="B59" s="20"/>
      <c r="C59" s="435"/>
      <c r="D59" s="435"/>
      <c r="E59" s="442" t="str">
        <f>IF(C12="English","RoHS directive prohibited substance under the scope of exemption is used.",IF(C12="中文","在符合适用除外用途使用RoHS指令禁止物质","適用除外に該当する用途でRoHS指令禁止物質を使用しています。"))</f>
        <v>適用除外に該当する用途でRoHS指令禁止物質を使用しています。</v>
      </c>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I59" s="84"/>
    </row>
    <row r="60" spans="1:39" ht="10.050000000000001" customHeight="1">
      <c r="B60" s="20"/>
      <c r="C60" s="3"/>
      <c r="D60" s="3"/>
      <c r="E60" s="157"/>
      <c r="F60" s="3"/>
      <c r="G60" s="3"/>
      <c r="H60" s="3"/>
      <c r="I60" s="3"/>
      <c r="J60" s="3"/>
      <c r="K60" s="3"/>
      <c r="L60" s="3"/>
      <c r="M60" s="3"/>
      <c r="N60" s="3"/>
      <c r="O60" s="3"/>
      <c r="P60" s="3"/>
      <c r="Q60" s="3"/>
      <c r="R60" s="3"/>
      <c r="S60" s="3"/>
      <c r="T60" s="3"/>
      <c r="U60" s="3"/>
      <c r="V60" s="3"/>
      <c r="W60" s="3"/>
      <c r="X60" s="3"/>
      <c r="Y60" s="3"/>
      <c r="Z60" s="3"/>
      <c r="AA60" s="3"/>
      <c r="AB60" s="3"/>
      <c r="AC60" s="13"/>
      <c r="AD60" s="13"/>
      <c r="AE60" s="4"/>
      <c r="AI60" s="84"/>
    </row>
    <row r="61" spans="1:39" s="23" customFormat="1">
      <c r="B61" s="24"/>
      <c r="C61" s="432" t="str">
        <f>IF(C12="English","We fill the number of the exemption, the name of the contained substance, CAS RN, and the region below.",IF(C12="中文","记载以下适用除外用途的RN、含有物质名称、CAS RN","以下に適用除外用途のRN、含有する物質名、CAS RN、部位を記載します。"))</f>
        <v>以下に適用除外用途のRN、含有する物質名、CAS RN、部位を記載します。</v>
      </c>
      <c r="D61" s="433"/>
      <c r="E61" s="433"/>
      <c r="F61" s="433"/>
      <c r="G61" s="433"/>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3"/>
      <c r="AG61" s="85"/>
      <c r="AH61" s="129"/>
      <c r="AJ61" s="153"/>
    </row>
    <row r="62" spans="1:39" s="23" customFormat="1">
      <c r="B62" s="24"/>
      <c r="C62" s="432" t="str">
        <f>IF(C12="English","※Refer to the following for exemptions ",IF(C12="中文","※适用除外参照处","※適用除外参照先"))</f>
        <v>※適用除外参照先</v>
      </c>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G62" s="85"/>
      <c r="AH62" s="129"/>
      <c r="AJ62" s="153"/>
    </row>
    <row r="63" spans="1:39" s="23" customFormat="1">
      <c r="B63" s="24"/>
      <c r="C63" s="572" t="s">
        <v>28</v>
      </c>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G63" s="85"/>
      <c r="AH63" s="129"/>
      <c r="AJ63" s="153"/>
    </row>
    <row r="64" spans="1:39" s="23" customFormat="1" ht="16.05" customHeight="1">
      <c r="B64" s="24"/>
      <c r="C64" s="25"/>
      <c r="D64" s="462" t="str">
        <f>IF(C12="English","Exempt No.",IF(C12="中文","适用除外No.:","適用除外No. "))</f>
        <v xml:space="preserve">適用除外No. </v>
      </c>
      <c r="E64" s="463"/>
      <c r="F64" s="463"/>
      <c r="G64" s="463"/>
      <c r="H64" s="464"/>
      <c r="I64" s="462" t="str">
        <f>IF(C12="English","Substance name",IF(C12="中文","物质名称","物質名"))</f>
        <v>物質名</v>
      </c>
      <c r="J64" s="463"/>
      <c r="K64" s="463"/>
      <c r="L64" s="463"/>
      <c r="M64" s="463"/>
      <c r="N64" s="463"/>
      <c r="O64" s="463"/>
      <c r="P64" s="463"/>
      <c r="Q64" s="464"/>
      <c r="R64" s="462" t="str">
        <f>IF(C12="English","CAS RN ",IF(C12="中文","CAS RN ","CAS RN "))</f>
        <v xml:space="preserve">CAS RN </v>
      </c>
      <c r="S64" s="463"/>
      <c r="T64" s="463"/>
      <c r="U64" s="463"/>
      <c r="V64" s="463"/>
      <c r="W64" s="463"/>
      <c r="X64" s="464"/>
      <c r="Y64" s="462" t="str">
        <f>IF(C12="English","Region",IF(C12="中文","部位","部位"))</f>
        <v>部位</v>
      </c>
      <c r="Z64" s="463"/>
      <c r="AA64" s="463"/>
      <c r="AB64" s="463"/>
      <c r="AC64" s="463"/>
      <c r="AD64" s="463"/>
      <c r="AE64" s="464"/>
      <c r="AG64" s="85"/>
      <c r="AH64" s="129"/>
      <c r="AL64" s="26"/>
    </row>
    <row r="65" spans="1:37" s="23" customFormat="1" ht="20.100000000000001" customHeight="1">
      <c r="B65" s="24"/>
      <c r="C65" s="27">
        <v>1</v>
      </c>
      <c r="D65" s="461"/>
      <c r="E65" s="461"/>
      <c r="F65" s="461"/>
      <c r="G65" s="461"/>
      <c r="H65" s="461"/>
      <c r="I65" s="461"/>
      <c r="J65" s="461"/>
      <c r="K65" s="461"/>
      <c r="L65" s="461"/>
      <c r="M65" s="461"/>
      <c r="N65" s="461"/>
      <c r="O65" s="461"/>
      <c r="P65" s="461"/>
      <c r="Q65" s="461"/>
      <c r="R65" s="408"/>
      <c r="S65" s="409"/>
      <c r="T65" s="409"/>
      <c r="U65" s="409"/>
      <c r="V65" s="409"/>
      <c r="W65" s="409"/>
      <c r="X65" s="410"/>
      <c r="Y65" s="408"/>
      <c r="Z65" s="409"/>
      <c r="AA65" s="409"/>
      <c r="AB65" s="409"/>
      <c r="AC65" s="409"/>
      <c r="AD65" s="409"/>
      <c r="AE65" s="410"/>
      <c r="AG65" s="85"/>
      <c r="AH65" s="129"/>
    </row>
    <row r="66" spans="1:37" s="23" customFormat="1" ht="20.100000000000001" customHeight="1">
      <c r="B66" s="24"/>
      <c r="C66" s="27">
        <v>2</v>
      </c>
      <c r="D66" s="461"/>
      <c r="E66" s="461"/>
      <c r="F66" s="461"/>
      <c r="G66" s="461"/>
      <c r="H66" s="461"/>
      <c r="I66" s="461"/>
      <c r="J66" s="461"/>
      <c r="K66" s="461"/>
      <c r="L66" s="461"/>
      <c r="M66" s="461"/>
      <c r="N66" s="461"/>
      <c r="O66" s="461"/>
      <c r="P66" s="461"/>
      <c r="Q66" s="461"/>
      <c r="R66" s="408"/>
      <c r="S66" s="409"/>
      <c r="T66" s="409"/>
      <c r="U66" s="409"/>
      <c r="V66" s="409"/>
      <c r="W66" s="409"/>
      <c r="X66" s="410"/>
      <c r="Y66" s="408"/>
      <c r="Z66" s="409"/>
      <c r="AA66" s="409"/>
      <c r="AB66" s="409"/>
      <c r="AC66" s="409"/>
      <c r="AD66" s="409"/>
      <c r="AE66" s="410"/>
      <c r="AG66" s="85"/>
      <c r="AH66" s="129"/>
    </row>
    <row r="67" spans="1:37" s="23" customFormat="1" ht="20.100000000000001" customHeight="1">
      <c r="B67" s="24"/>
      <c r="C67" s="27">
        <v>3</v>
      </c>
      <c r="D67" s="461"/>
      <c r="E67" s="461"/>
      <c r="F67" s="461"/>
      <c r="G67" s="461"/>
      <c r="H67" s="461"/>
      <c r="I67" s="461"/>
      <c r="J67" s="461"/>
      <c r="K67" s="461"/>
      <c r="L67" s="461"/>
      <c r="M67" s="461"/>
      <c r="N67" s="461"/>
      <c r="O67" s="461"/>
      <c r="P67" s="461"/>
      <c r="Q67" s="461"/>
      <c r="R67" s="408"/>
      <c r="S67" s="409"/>
      <c r="T67" s="409"/>
      <c r="U67" s="409"/>
      <c r="V67" s="409"/>
      <c r="W67" s="409"/>
      <c r="X67" s="410"/>
      <c r="Y67" s="408"/>
      <c r="Z67" s="409"/>
      <c r="AA67" s="409"/>
      <c r="AB67" s="409"/>
      <c r="AC67" s="409"/>
      <c r="AD67" s="409"/>
      <c r="AE67" s="410"/>
      <c r="AG67" s="85"/>
      <c r="AH67" s="129"/>
    </row>
    <row r="68" spans="1:37" s="23" customFormat="1" ht="20.100000000000001" customHeight="1">
      <c r="B68" s="24"/>
      <c r="C68" s="27">
        <v>4</v>
      </c>
      <c r="D68" s="461"/>
      <c r="E68" s="461"/>
      <c r="F68" s="461"/>
      <c r="G68" s="461"/>
      <c r="H68" s="461"/>
      <c r="I68" s="461"/>
      <c r="J68" s="461"/>
      <c r="K68" s="461"/>
      <c r="L68" s="461"/>
      <c r="M68" s="461"/>
      <c r="N68" s="461"/>
      <c r="O68" s="461"/>
      <c r="P68" s="461"/>
      <c r="Q68" s="461"/>
      <c r="R68" s="408"/>
      <c r="S68" s="409"/>
      <c r="T68" s="409"/>
      <c r="U68" s="409"/>
      <c r="V68" s="409"/>
      <c r="W68" s="409"/>
      <c r="X68" s="410"/>
      <c r="Y68" s="408"/>
      <c r="Z68" s="409"/>
      <c r="AA68" s="409"/>
      <c r="AB68" s="409"/>
      <c r="AC68" s="409"/>
      <c r="AD68" s="409"/>
      <c r="AE68" s="410"/>
      <c r="AG68" s="85"/>
      <c r="AH68" s="129"/>
    </row>
    <row r="69" spans="1:37" s="23" customFormat="1" ht="20.100000000000001" customHeight="1">
      <c r="B69" s="24"/>
      <c r="C69" s="27">
        <v>5</v>
      </c>
      <c r="D69" s="408"/>
      <c r="E69" s="409"/>
      <c r="F69" s="409"/>
      <c r="G69" s="409"/>
      <c r="H69" s="410"/>
      <c r="I69" s="408"/>
      <c r="J69" s="409"/>
      <c r="K69" s="409"/>
      <c r="L69" s="409"/>
      <c r="M69" s="409"/>
      <c r="N69" s="409"/>
      <c r="O69" s="409"/>
      <c r="P69" s="409"/>
      <c r="Q69" s="410"/>
      <c r="R69" s="408"/>
      <c r="S69" s="409"/>
      <c r="T69" s="409"/>
      <c r="U69" s="409"/>
      <c r="V69" s="409"/>
      <c r="W69" s="409"/>
      <c r="X69" s="410"/>
      <c r="Y69" s="408"/>
      <c r="Z69" s="409"/>
      <c r="AA69" s="409"/>
      <c r="AB69" s="409"/>
      <c r="AC69" s="409"/>
      <c r="AD69" s="409"/>
      <c r="AE69" s="410"/>
      <c r="AG69" s="85"/>
      <c r="AH69" s="129"/>
    </row>
    <row r="70" spans="1:37" s="23" customFormat="1" ht="9.75" customHeight="1">
      <c r="B70" s="28"/>
      <c r="C70" s="28"/>
      <c r="D70" s="28"/>
      <c r="E70" s="28"/>
      <c r="F70" s="28"/>
      <c r="G70" s="28"/>
      <c r="H70" s="28"/>
      <c r="I70" s="28"/>
      <c r="J70" s="28"/>
      <c r="K70" s="28"/>
      <c r="L70" s="28"/>
      <c r="M70" s="28"/>
      <c r="N70" s="28"/>
      <c r="O70" s="29"/>
      <c r="P70" s="28"/>
      <c r="Q70" s="28"/>
      <c r="R70" s="28"/>
      <c r="S70" s="28"/>
      <c r="AG70" s="85"/>
      <c r="AH70" s="129"/>
    </row>
    <row r="71" spans="1:37" ht="13.5" customHeight="1">
      <c r="B71" s="30"/>
      <c r="C71" s="197"/>
      <c r="D71" s="31"/>
      <c r="E71" s="31"/>
      <c r="F71" s="31"/>
      <c r="G71" s="31"/>
      <c r="H71" s="31"/>
      <c r="I71" s="31"/>
      <c r="J71" s="31"/>
      <c r="K71" s="31"/>
      <c r="L71" s="31"/>
      <c r="M71" s="31"/>
      <c r="N71" s="31"/>
      <c r="O71" s="31"/>
      <c r="P71" s="31"/>
      <c r="Q71" s="157"/>
      <c r="R71" s="157"/>
      <c r="S71" s="32"/>
      <c r="T71" s="157"/>
      <c r="U71" s="157"/>
      <c r="V71" s="157"/>
      <c r="W71" s="157"/>
      <c r="X71" s="157"/>
      <c r="Y71" s="157"/>
      <c r="Z71" s="399" t="str">
        <f>'Certificate of Non-use'!Z71:AE71</f>
        <v>Form：F-0045-14</v>
      </c>
      <c r="AA71" s="399"/>
      <c r="AB71" s="399"/>
      <c r="AC71" s="399"/>
      <c r="AD71" s="399"/>
      <c r="AE71" s="399"/>
      <c r="AH71" s="3"/>
      <c r="AI71" s="3"/>
      <c r="AJ71" s="3"/>
      <c r="AK71" s="3"/>
    </row>
    <row r="72" spans="1:37" ht="13.5" customHeight="1">
      <c r="B72" s="30"/>
      <c r="C72" s="197"/>
      <c r="D72" s="31"/>
      <c r="E72" s="31"/>
      <c r="F72" s="31"/>
      <c r="G72" s="31"/>
      <c r="H72" s="31"/>
      <c r="I72" s="31"/>
      <c r="J72" s="31"/>
      <c r="K72" s="31"/>
      <c r="L72" s="31"/>
      <c r="M72" s="31"/>
      <c r="N72" s="31"/>
      <c r="O72" s="31"/>
      <c r="P72" s="31"/>
      <c r="Q72" s="157"/>
      <c r="R72" s="157"/>
      <c r="S72" s="32"/>
      <c r="T72" s="157"/>
      <c r="U72" s="157"/>
      <c r="V72" s="157"/>
      <c r="W72" s="157"/>
      <c r="X72" s="157"/>
      <c r="Y72" s="157"/>
      <c r="Z72" s="33"/>
      <c r="AA72" s="33"/>
      <c r="AB72" s="33"/>
      <c r="AC72" s="33"/>
      <c r="AD72" s="33"/>
      <c r="AE72" s="33"/>
      <c r="AH72" s="3"/>
      <c r="AI72" s="3"/>
      <c r="AJ72" s="3"/>
      <c r="AK72" s="3"/>
    </row>
    <row r="73" spans="1:37" ht="20.100000000000001" customHeight="1">
      <c r="A73" s="17"/>
      <c r="B73" s="42" t="str">
        <f>IF(C12="English","Prohibited substances",IF(C12="中文","禁用物质","禁止物質"))</f>
        <v>禁止物質</v>
      </c>
      <c r="C73" s="17"/>
      <c r="D73" s="35"/>
      <c r="E73" s="17"/>
      <c r="F73" s="17"/>
    </row>
    <row r="74" spans="1:37" ht="15" customHeight="1">
      <c r="B74" s="83"/>
      <c r="C74" s="83" t="str">
        <f>IF(C12="English","Please enter ○ in the check column in the case of conformity, .",IF(C12="中文","符合时请在确认栏填写〇。","＊適合の場合はチェック欄に○を記入ください。"))</f>
        <v>＊適合の場合はチェック欄に○を記入ください。</v>
      </c>
      <c r="D74" s="83"/>
      <c r="E74" s="83"/>
      <c r="F74" s="83"/>
      <c r="G74" s="83"/>
      <c r="H74" s="83"/>
      <c r="I74" s="83"/>
      <c r="J74" s="83"/>
      <c r="K74" s="83"/>
      <c r="L74" s="83"/>
      <c r="M74" s="83"/>
      <c r="N74" s="36"/>
      <c r="O74" s="157"/>
      <c r="P74" s="157"/>
      <c r="V74" s="123"/>
      <c r="W74" s="198"/>
      <c r="X74" s="198"/>
      <c r="Y74" s="198"/>
      <c r="Z74" s="198"/>
      <c r="AA74" s="198"/>
      <c r="AB74" s="198"/>
      <c r="AC74" s="198"/>
      <c r="AD74" s="198"/>
      <c r="AE74" s="198"/>
    </row>
    <row r="75" spans="1:37" ht="30" customHeight="1">
      <c r="B75" s="83"/>
      <c r="C75" s="159" t="s">
        <v>42</v>
      </c>
      <c r="D75" s="592" t="str">
        <f>IF(C12="English","Chemical substances",IF(C12="中文","物　质  名","物  質  名"))</f>
        <v>物  質  名</v>
      </c>
      <c r="E75" s="593"/>
      <c r="F75" s="593"/>
      <c r="G75" s="593"/>
      <c r="H75" s="593"/>
      <c r="I75" s="593"/>
      <c r="J75" s="593"/>
      <c r="K75" s="593"/>
      <c r="L75" s="593"/>
      <c r="M75" s="593"/>
      <c r="N75" s="593"/>
      <c r="O75" s="593"/>
      <c r="P75" s="593"/>
      <c r="Q75" s="594" t="str">
        <f>IF(C12="English","Objects of Regulations",IF(C12="中文","限制对象","規制対象"))</f>
        <v>規制対象</v>
      </c>
      <c r="R75" s="595"/>
      <c r="S75" s="595"/>
      <c r="T75" s="595"/>
      <c r="U75" s="595"/>
      <c r="V75" s="595"/>
      <c r="W75" s="595"/>
      <c r="X75" s="592" t="str">
        <f>IF(C12="English","Regulation value   (ppm)",IF(C12="中文","限制值(ppm)","規制値(ppm)"))</f>
        <v>規制値(ppm)</v>
      </c>
      <c r="Y75" s="593"/>
      <c r="Z75" s="593"/>
      <c r="AA75" s="593"/>
      <c r="AB75" s="593"/>
      <c r="AC75" s="594" t="str">
        <f>IF(C12="English","Check",IF(C12="中文","检查栏","チェック欄"))</f>
        <v>チェック欄</v>
      </c>
      <c r="AD75" s="594"/>
      <c r="AE75" s="595"/>
    </row>
    <row r="76" spans="1:37" ht="15" customHeight="1">
      <c r="B76" s="84"/>
      <c r="C76" s="602">
        <v>1</v>
      </c>
      <c r="D76" s="609" t="str">
        <f>IF(C12="English","Cadmium and its compounds",IF(C12="中文"," 镉及其化合物","カドミウムおよびその化合物"))</f>
        <v>カドミウムおよびその化合物</v>
      </c>
      <c r="E76" s="593"/>
      <c r="F76" s="593"/>
      <c r="G76" s="593"/>
      <c r="H76" s="593"/>
      <c r="I76" s="593"/>
      <c r="J76" s="593"/>
      <c r="K76" s="593"/>
      <c r="L76" s="593"/>
      <c r="M76" s="593"/>
      <c r="N76" s="593"/>
      <c r="O76" s="593"/>
      <c r="P76" s="593"/>
      <c r="Q76" s="526" t="str">
        <f>IF(C12="English","All uses (except for the exemption)  
Details refer to Attachment:I Prohibited substances",IF(C12="中文","所有用途（除去适用除外）
限制物质的详细请参照附属书I禁止物质一览","全ての用途（適用除外を除く）
規制対象の詳細は、附属書Ⅰ禁止物質リストを参照下さい"))</f>
        <v>全ての用途（適用除外を除く）
規制対象の詳細は、附属書Ⅰ禁止物質リストを参照下さい</v>
      </c>
      <c r="R76" s="610"/>
      <c r="S76" s="610"/>
      <c r="T76" s="610"/>
      <c r="U76" s="610"/>
      <c r="V76" s="610"/>
      <c r="W76" s="611"/>
      <c r="X76" s="609"/>
      <c r="Y76" s="593"/>
      <c r="Z76" s="593"/>
      <c r="AA76" s="593"/>
      <c r="AB76" s="593"/>
      <c r="AC76" s="577"/>
      <c r="AD76" s="578"/>
      <c r="AE76" s="579"/>
    </row>
    <row r="77" spans="1:37" ht="15" customHeight="1">
      <c r="B77" s="17"/>
      <c r="C77" s="603"/>
      <c r="D77" s="550" t="str">
        <f>IF(C12="English","Plastic, ink, grease, adhesives, etc.",IF(C12="中文","树脂,油墨,润滑油脂,胶合剂等","プラスチック,インキ,グリス,接着剤など"))</f>
        <v>プラスチック,インキ,グリス,接着剤など</v>
      </c>
      <c r="E77" s="551"/>
      <c r="F77" s="551"/>
      <c r="G77" s="551"/>
      <c r="H77" s="551"/>
      <c r="I77" s="551"/>
      <c r="J77" s="551"/>
      <c r="K77" s="551"/>
      <c r="L77" s="551"/>
      <c r="M77" s="551"/>
      <c r="N77" s="551"/>
      <c r="O77" s="551"/>
      <c r="P77" s="552"/>
      <c r="Q77" s="612"/>
      <c r="R77" s="494"/>
      <c r="S77" s="494"/>
      <c r="T77" s="494"/>
      <c r="U77" s="494"/>
      <c r="V77" s="494"/>
      <c r="W77" s="613"/>
      <c r="X77" s="586">
        <v>5</v>
      </c>
      <c r="Y77" s="587"/>
      <c r="Z77" s="587"/>
      <c r="AA77" s="587"/>
      <c r="AB77" s="588"/>
      <c r="AC77" s="580"/>
      <c r="AD77" s="581"/>
      <c r="AE77" s="582"/>
    </row>
    <row r="78" spans="1:37" ht="15" customHeight="1">
      <c r="A78" s="4"/>
      <c r="B78" s="17"/>
      <c r="C78" s="603"/>
      <c r="D78" s="503" t="str">
        <f>IF(C12="English","Solder",IF(C12="中文","焊料","はんだ"))</f>
        <v>はんだ</v>
      </c>
      <c r="E78" s="504"/>
      <c r="F78" s="504"/>
      <c r="G78" s="504"/>
      <c r="H78" s="504"/>
      <c r="I78" s="504"/>
      <c r="J78" s="504"/>
      <c r="K78" s="504"/>
      <c r="L78" s="504"/>
      <c r="M78" s="504"/>
      <c r="N78" s="504"/>
      <c r="O78" s="504"/>
      <c r="P78" s="505"/>
      <c r="Q78" s="612"/>
      <c r="R78" s="494"/>
      <c r="S78" s="494"/>
      <c r="T78" s="494"/>
      <c r="U78" s="494"/>
      <c r="V78" s="494"/>
      <c r="W78" s="613"/>
      <c r="X78" s="589">
        <v>20</v>
      </c>
      <c r="Y78" s="590"/>
      <c r="Z78" s="590"/>
      <c r="AA78" s="590"/>
      <c r="AB78" s="591"/>
      <c r="AC78" s="580"/>
      <c r="AD78" s="581"/>
      <c r="AE78" s="582"/>
    </row>
    <row r="79" spans="1:37" ht="15" customHeight="1">
      <c r="C79" s="603"/>
      <c r="D79" s="509" t="str">
        <f>IF(C12="English","Other applications",IF(C12="中文","其他用途","その他の用途"))</f>
        <v>その他の用途</v>
      </c>
      <c r="E79" s="510"/>
      <c r="F79" s="510"/>
      <c r="G79" s="510"/>
      <c r="H79" s="510"/>
      <c r="I79" s="510"/>
      <c r="J79" s="510"/>
      <c r="K79" s="510"/>
      <c r="L79" s="510"/>
      <c r="M79" s="510"/>
      <c r="N79" s="510"/>
      <c r="O79" s="510"/>
      <c r="P79" s="511"/>
      <c r="Q79" s="612"/>
      <c r="R79" s="494"/>
      <c r="S79" s="494"/>
      <c r="T79" s="494"/>
      <c r="U79" s="494"/>
      <c r="V79" s="494"/>
      <c r="W79" s="613"/>
      <c r="X79" s="596">
        <v>75</v>
      </c>
      <c r="Y79" s="597"/>
      <c r="Z79" s="597"/>
      <c r="AA79" s="597"/>
      <c r="AB79" s="598"/>
      <c r="AC79" s="580"/>
      <c r="AD79" s="581"/>
      <c r="AE79" s="582"/>
    </row>
    <row r="80" spans="1:37" ht="15" customHeight="1">
      <c r="C80" s="608"/>
      <c r="D80" s="509" t="str">
        <f>IF(C12="English","Battery",IF(C12="中文","电池","電池"))</f>
        <v>電池</v>
      </c>
      <c r="E80" s="510"/>
      <c r="F80" s="510"/>
      <c r="G80" s="510"/>
      <c r="H80" s="510"/>
      <c r="I80" s="510"/>
      <c r="J80" s="510"/>
      <c r="K80" s="510"/>
      <c r="L80" s="510"/>
      <c r="M80" s="510"/>
      <c r="N80" s="510"/>
      <c r="O80" s="510"/>
      <c r="P80" s="511"/>
      <c r="Q80" s="612"/>
      <c r="R80" s="494"/>
      <c r="S80" s="494"/>
      <c r="T80" s="494"/>
      <c r="U80" s="494"/>
      <c r="V80" s="494"/>
      <c r="W80" s="613"/>
      <c r="X80" s="599" t="str">
        <f>IF(C12="English","20 with Battery as a denominator",IF(C12="中文"," 20 电池作为分母","電池を分母として20"))</f>
        <v>電池を分母として20</v>
      </c>
      <c r="Y80" s="600"/>
      <c r="Z80" s="600"/>
      <c r="AA80" s="600"/>
      <c r="AB80" s="601"/>
      <c r="AC80" s="583"/>
      <c r="AD80" s="584"/>
      <c r="AE80" s="585"/>
    </row>
    <row r="81" spans="1:31" ht="15" customHeight="1">
      <c r="A81" s="15"/>
      <c r="B81" s="3"/>
      <c r="C81" s="602">
        <v>2</v>
      </c>
      <c r="D81" s="523" t="str">
        <f>IF(C12="English","Lead and its compounds",IF(C12="中文","铅及其化合物","鉛およびその化合物"))</f>
        <v>鉛およびその化合物</v>
      </c>
      <c r="E81" s="524"/>
      <c r="F81" s="524"/>
      <c r="G81" s="524"/>
      <c r="H81" s="524"/>
      <c r="I81" s="524"/>
      <c r="J81" s="524"/>
      <c r="K81" s="524"/>
      <c r="L81" s="524"/>
      <c r="M81" s="524"/>
      <c r="N81" s="524"/>
      <c r="O81" s="524"/>
      <c r="P81" s="525"/>
      <c r="Q81" s="612"/>
      <c r="R81" s="494"/>
      <c r="S81" s="494"/>
      <c r="T81" s="494"/>
      <c r="U81" s="494"/>
      <c r="V81" s="494"/>
      <c r="W81" s="613"/>
      <c r="X81" s="605"/>
      <c r="Y81" s="606"/>
      <c r="Z81" s="606"/>
      <c r="AA81" s="606"/>
      <c r="AB81" s="607"/>
      <c r="AC81" s="577"/>
      <c r="AD81" s="578"/>
      <c r="AE81" s="615"/>
    </row>
    <row r="82" spans="1:31" ht="15" customHeight="1">
      <c r="B82" s="3"/>
      <c r="C82" s="603"/>
      <c r="D82" s="550" t="str">
        <f>IF(C12="English","Plastic, ink, grease, adhesives, etc.",IF(C12="中文","树脂,油墨,润滑油脂,胶合剂等","プラスチック,インキ,グリス,接着剤など"))</f>
        <v>プラスチック,インキ,グリス,接着剤など</v>
      </c>
      <c r="E82" s="551"/>
      <c r="F82" s="551"/>
      <c r="G82" s="551"/>
      <c r="H82" s="551"/>
      <c r="I82" s="551"/>
      <c r="J82" s="551"/>
      <c r="K82" s="551"/>
      <c r="L82" s="551"/>
      <c r="M82" s="551"/>
      <c r="N82" s="551"/>
      <c r="O82" s="551"/>
      <c r="P82" s="552"/>
      <c r="Q82" s="612"/>
      <c r="R82" s="494"/>
      <c r="S82" s="494"/>
      <c r="T82" s="494"/>
      <c r="U82" s="494"/>
      <c r="V82" s="494"/>
      <c r="W82" s="613"/>
      <c r="X82" s="586">
        <v>100</v>
      </c>
      <c r="Y82" s="587"/>
      <c r="Z82" s="587"/>
      <c r="AA82" s="587"/>
      <c r="AB82" s="588"/>
      <c r="AC82" s="580"/>
      <c r="AD82" s="581"/>
      <c r="AE82" s="626"/>
    </row>
    <row r="83" spans="1:31" ht="15" customHeight="1">
      <c r="C83" s="603"/>
      <c r="D83" s="503" t="str">
        <f>IF(C12="English","Lead-free solder",IF(C12="中文","无铅焊料","鉛ﾌﾘｰはんだ"))</f>
        <v>鉛ﾌﾘｰはんだ</v>
      </c>
      <c r="E83" s="504"/>
      <c r="F83" s="504"/>
      <c r="G83" s="504"/>
      <c r="H83" s="504"/>
      <c r="I83" s="504"/>
      <c r="J83" s="504"/>
      <c r="K83" s="504"/>
      <c r="L83" s="504"/>
      <c r="M83" s="504"/>
      <c r="N83" s="504"/>
      <c r="O83" s="504"/>
      <c r="P83" s="505"/>
      <c r="Q83" s="612"/>
      <c r="R83" s="494"/>
      <c r="S83" s="494"/>
      <c r="T83" s="494"/>
      <c r="U83" s="494"/>
      <c r="V83" s="494"/>
      <c r="W83" s="613"/>
      <c r="X83" s="589">
        <v>500</v>
      </c>
      <c r="Y83" s="590"/>
      <c r="Z83" s="590"/>
      <c r="AA83" s="590"/>
      <c r="AB83" s="591"/>
      <c r="AC83" s="580"/>
      <c r="AD83" s="581"/>
      <c r="AE83" s="626"/>
    </row>
    <row r="84" spans="1:31" ht="15" customHeight="1">
      <c r="C84" s="604"/>
      <c r="D84" s="509" t="str">
        <f>IF(C12="English","Other applications",IF(C12="中文","其他用途","その他の用途"))</f>
        <v>その他の用途</v>
      </c>
      <c r="E84" s="510"/>
      <c r="F84" s="510"/>
      <c r="G84" s="510"/>
      <c r="H84" s="510"/>
      <c r="I84" s="510"/>
      <c r="J84" s="510"/>
      <c r="K84" s="510"/>
      <c r="L84" s="510"/>
      <c r="M84" s="510"/>
      <c r="N84" s="510"/>
      <c r="O84" s="510"/>
      <c r="P84" s="511"/>
      <c r="Q84" s="612"/>
      <c r="R84" s="494"/>
      <c r="S84" s="494"/>
      <c r="T84" s="494"/>
      <c r="U84" s="494"/>
      <c r="V84" s="494"/>
      <c r="W84" s="613"/>
      <c r="X84" s="623">
        <v>1000</v>
      </c>
      <c r="Y84" s="624"/>
      <c r="Z84" s="624"/>
      <c r="AA84" s="624"/>
      <c r="AB84" s="625"/>
      <c r="AC84" s="627"/>
      <c r="AD84" s="628"/>
      <c r="AE84" s="629"/>
    </row>
    <row r="85" spans="1:31" ht="15" customHeight="1">
      <c r="C85" s="154">
        <v>3</v>
      </c>
      <c r="D85" s="523" t="str">
        <f>IF(C12="English","Hexavalent chromium compounds",IF(C12="中文","六价铬化合物","六価クロム化合物"))</f>
        <v>六価クロム化合物</v>
      </c>
      <c r="E85" s="524"/>
      <c r="F85" s="524"/>
      <c r="G85" s="524"/>
      <c r="H85" s="524"/>
      <c r="I85" s="524"/>
      <c r="J85" s="524"/>
      <c r="K85" s="524"/>
      <c r="L85" s="524"/>
      <c r="M85" s="524"/>
      <c r="N85" s="524"/>
      <c r="O85" s="524"/>
      <c r="P85" s="525"/>
      <c r="Q85" s="612"/>
      <c r="R85" s="494"/>
      <c r="S85" s="494"/>
      <c r="T85" s="494"/>
      <c r="U85" s="494"/>
      <c r="V85" s="494"/>
      <c r="W85" s="613"/>
      <c r="X85" s="630">
        <v>1000</v>
      </c>
      <c r="Y85" s="631"/>
      <c r="Z85" s="631"/>
      <c r="AA85" s="631"/>
      <c r="AB85" s="632"/>
      <c r="AC85" s="506"/>
      <c r="AD85" s="507"/>
      <c r="AE85" s="508"/>
    </row>
    <row r="86" spans="1:31" ht="15" customHeight="1">
      <c r="C86" s="602">
        <v>4</v>
      </c>
      <c r="D86" s="523" t="str">
        <f>IF(C12="English","Mercury and its compounds",IF(C12="中文","汞极其化合物","水銀およびその化合物"))</f>
        <v>水銀およびその化合物</v>
      </c>
      <c r="E86" s="524"/>
      <c r="F86" s="524"/>
      <c r="G86" s="524"/>
      <c r="H86" s="524"/>
      <c r="I86" s="524"/>
      <c r="J86" s="524"/>
      <c r="K86" s="524"/>
      <c r="L86" s="524"/>
      <c r="M86" s="524"/>
      <c r="N86" s="524"/>
      <c r="O86" s="524"/>
      <c r="P86" s="525"/>
      <c r="Q86" s="612"/>
      <c r="R86" s="494"/>
      <c r="S86" s="494"/>
      <c r="T86" s="494"/>
      <c r="U86" s="494"/>
      <c r="V86" s="494"/>
      <c r="W86" s="613"/>
      <c r="X86" s="605"/>
      <c r="Y86" s="606"/>
      <c r="Z86" s="606"/>
      <c r="AA86" s="606"/>
      <c r="AB86" s="607"/>
      <c r="AC86" s="577"/>
      <c r="AD86" s="578"/>
      <c r="AE86" s="615"/>
    </row>
    <row r="87" spans="1:31" ht="45" customHeight="1">
      <c r="C87" s="614"/>
      <c r="D87" s="509" t="str">
        <f>IF(C12="English","All uses for not batteries",IF(C12="中文","电池以外所有用途","電池を除く、全ての用途"))</f>
        <v>電池を除く、全ての用途</v>
      </c>
      <c r="E87" s="510"/>
      <c r="F87" s="510"/>
      <c r="G87" s="510"/>
      <c r="H87" s="510"/>
      <c r="I87" s="510"/>
      <c r="J87" s="510"/>
      <c r="K87" s="510"/>
      <c r="L87" s="510"/>
      <c r="M87" s="510"/>
      <c r="N87" s="510"/>
      <c r="O87" s="510"/>
      <c r="P87" s="511"/>
      <c r="Q87" s="612"/>
      <c r="R87" s="494"/>
      <c r="S87" s="494"/>
      <c r="T87" s="494"/>
      <c r="U87" s="494"/>
      <c r="V87" s="494"/>
      <c r="W87" s="613"/>
      <c r="X87" s="623" t="str">
        <f>IF(C12="English","Intentionally added or 1,000",IF(C12="中文","禁止有意添加
且　1,000","意図的添加禁止
且つ 1,000"))</f>
        <v>意図的添加禁止
且つ 1,000</v>
      </c>
      <c r="Y87" s="624"/>
      <c r="Z87" s="624"/>
      <c r="AA87" s="624"/>
      <c r="AB87" s="625"/>
      <c r="AC87" s="616"/>
      <c r="AD87" s="617"/>
      <c r="AE87" s="618"/>
    </row>
    <row r="88" spans="1:31" ht="15" customHeight="1">
      <c r="C88" s="608"/>
      <c r="D88" s="509" t="str">
        <f>IF(C12="English","Other applications",IF(C12="中文","电池","電池"))</f>
        <v>電池</v>
      </c>
      <c r="E88" s="510"/>
      <c r="F88" s="510"/>
      <c r="G88" s="510"/>
      <c r="H88" s="510"/>
      <c r="I88" s="510"/>
      <c r="J88" s="510"/>
      <c r="K88" s="510"/>
      <c r="L88" s="510"/>
      <c r="M88" s="510"/>
      <c r="N88" s="510"/>
      <c r="O88" s="510"/>
      <c r="P88" s="511"/>
      <c r="Q88" s="612"/>
      <c r="R88" s="494"/>
      <c r="S88" s="494"/>
      <c r="T88" s="494"/>
      <c r="U88" s="494"/>
      <c r="V88" s="494"/>
      <c r="W88" s="613"/>
      <c r="X88" s="623" t="str">
        <f>IF(C12="English","5 with Battery as a denominator",IF(C12="中文"," 5 电池作为分母","電池を分母として5"))</f>
        <v>電池を分母として5</v>
      </c>
      <c r="Y88" s="624"/>
      <c r="Z88" s="624"/>
      <c r="AA88" s="624"/>
      <c r="AB88" s="625"/>
      <c r="AC88" s="616"/>
      <c r="AD88" s="619"/>
      <c r="AE88" s="618"/>
    </row>
    <row r="89" spans="1:31" ht="15" customHeight="1">
      <c r="C89" s="154">
        <v>5</v>
      </c>
      <c r="D89" s="523" t="str">
        <f>IF(C12="English","Polybrominated  biphenyls (PBB)",IF(C12="中文","PBB；聚溴联苯","PBB；ポリ臭化ビフェニル"))</f>
        <v>PBB；ポリ臭化ビフェニル</v>
      </c>
      <c r="E89" s="524"/>
      <c r="F89" s="524"/>
      <c r="G89" s="524"/>
      <c r="H89" s="524"/>
      <c r="I89" s="524"/>
      <c r="J89" s="524"/>
      <c r="K89" s="524"/>
      <c r="L89" s="524"/>
      <c r="M89" s="524"/>
      <c r="N89" s="524"/>
      <c r="O89" s="524"/>
      <c r="P89" s="525"/>
      <c r="Q89" s="583"/>
      <c r="R89" s="584"/>
      <c r="S89" s="584"/>
      <c r="T89" s="584"/>
      <c r="U89" s="584"/>
      <c r="V89" s="584"/>
      <c r="W89" s="585"/>
      <c r="X89" s="630">
        <v>1000</v>
      </c>
      <c r="Y89" s="631"/>
      <c r="Z89" s="631"/>
      <c r="AA89" s="631"/>
      <c r="AB89" s="632"/>
      <c r="AC89" s="620"/>
      <c r="AD89" s="621"/>
      <c r="AE89" s="622"/>
    </row>
    <row r="90" spans="1:31" ht="30" customHeight="1">
      <c r="C90" s="633">
        <v>6</v>
      </c>
      <c r="D90" s="526" t="str">
        <f>IF(C12="English","Polybrominated diphenyl ethers (PBDE)  (Including Deca-BDE: Decabromojiphenyl ether CAS RN 1163-19-5)",IF(C12="中文","PBDE；聚溴联苯醚 (包括DBDE (十溴联苯醚) CAS RN 1163-19-5)","PBDE；ポリ臭化ジフェニルエーテル (Deca-BDE：デカブロモジフェニルエーテル CAS RN 1163-19-5を含む)"))</f>
        <v>PBDE；ポリ臭化ジフェニルエーテル (Deca-BDE：デカブロモジフェニルエーテル CAS RN 1163-19-5を含む)</v>
      </c>
      <c r="E90" s="635"/>
      <c r="F90" s="635"/>
      <c r="G90" s="635"/>
      <c r="H90" s="635"/>
      <c r="I90" s="635"/>
      <c r="J90" s="635"/>
      <c r="K90" s="635"/>
      <c r="L90" s="635"/>
      <c r="M90" s="635"/>
      <c r="N90" s="635"/>
      <c r="O90" s="635"/>
      <c r="P90" s="636"/>
      <c r="Q90" s="638" t="str">
        <f>IF(C12="English","Uses for electrical and electronic equipment",IF(C12="中文","电气电子机器用途","電気電子機器用途"))</f>
        <v>電気電子機器用途</v>
      </c>
      <c r="R90" s="639"/>
      <c r="S90" s="639"/>
      <c r="T90" s="639"/>
      <c r="U90" s="639"/>
      <c r="V90" s="639"/>
      <c r="W90" s="640"/>
      <c r="X90" s="630" t="str">
        <f>IF(C12="English","Intentionally added or 1,000",IF(C12="中文","禁止有意添加
且限制值为1,000","意図的添加禁止
且つ 1,000"))</f>
        <v>意図的添加禁止
且つ 1,000</v>
      </c>
      <c r="Y90" s="631"/>
      <c r="Z90" s="631"/>
      <c r="AA90" s="631"/>
      <c r="AB90" s="632"/>
      <c r="AC90" s="577"/>
      <c r="AD90" s="578"/>
      <c r="AE90" s="615"/>
    </row>
    <row r="91" spans="1:31" ht="30" customHeight="1">
      <c r="C91" s="634"/>
      <c r="D91" s="532"/>
      <c r="E91" s="533"/>
      <c r="F91" s="533"/>
      <c r="G91" s="533"/>
      <c r="H91" s="533"/>
      <c r="I91" s="533"/>
      <c r="J91" s="533"/>
      <c r="K91" s="533"/>
      <c r="L91" s="533"/>
      <c r="M91" s="533"/>
      <c r="N91" s="533"/>
      <c r="O91" s="533"/>
      <c r="P91" s="637"/>
      <c r="Q91" s="638" t="str">
        <f>IF(C12="English","Uses for not electrical and electronic equipment",IF(C12="中文","电气电子机器以外用途","電気電子機器以外の用途"))</f>
        <v>電気電子機器以外の用途</v>
      </c>
      <c r="R91" s="639"/>
      <c r="S91" s="639"/>
      <c r="T91" s="639"/>
      <c r="U91" s="639"/>
      <c r="V91" s="639"/>
      <c r="W91" s="640"/>
      <c r="X91" s="623" t="str">
        <f>IF(C12="English","Intentionally added or 500",IF(C12="中文","禁止有意添加
且限制值为500","意図的添加禁止
且つ 500"))</f>
        <v>意図的添加禁止
且つ 500</v>
      </c>
      <c r="Y91" s="624"/>
      <c r="Z91" s="624"/>
      <c r="AA91" s="624"/>
      <c r="AB91" s="625"/>
      <c r="AC91" s="620"/>
      <c r="AD91" s="621"/>
      <c r="AE91" s="622"/>
    </row>
    <row r="92" spans="1:31" ht="15" customHeight="1">
      <c r="C92" s="641" t="s">
        <v>27</v>
      </c>
      <c r="D92" s="638" t="str">
        <f>IF(C12="English","Phthalate esters 4 substances below",IF(C12="中文","邻苯二甲酸酯 下述4种物质","フタル酸エステル　下記４物質"))</f>
        <v>フタル酸エステル　下記４物質</v>
      </c>
      <c r="E92" s="644"/>
      <c r="F92" s="644"/>
      <c r="G92" s="644"/>
      <c r="H92" s="644"/>
      <c r="I92" s="644"/>
      <c r="J92" s="644"/>
      <c r="K92" s="644"/>
      <c r="L92" s="644"/>
      <c r="M92" s="644"/>
      <c r="N92" s="644"/>
      <c r="O92" s="644"/>
      <c r="P92" s="645"/>
      <c r="Q92" s="646"/>
      <c r="R92" s="647"/>
      <c r="S92" s="647"/>
      <c r="T92" s="647"/>
      <c r="U92" s="647"/>
      <c r="V92" s="647"/>
      <c r="W92" s="648"/>
      <c r="X92" s="630"/>
      <c r="Y92" s="631"/>
      <c r="Z92" s="631"/>
      <c r="AA92" s="631"/>
      <c r="AB92" s="632"/>
      <c r="AC92" s="649"/>
      <c r="AD92" s="650"/>
      <c r="AE92" s="651"/>
    </row>
    <row r="93" spans="1:31" ht="30" customHeight="1">
      <c r="C93" s="642"/>
      <c r="D93" s="550" t="str">
        <f>IF(C12="English","Bis(2-ethylhexyl) phthalate（DEHP）
(Another name : DOP) (CAS RN 117-81-7)",IF(C12="中文","邻苯二甲酸二（2-乙基己基）酯（DEHP)　 
别称 : DOP(CAS RN 117-81-7)","フタル酸ビス（2-エチルヘキシル）（DEHP）
別称：DOP(CAS RN 117-81-7) "))</f>
        <v xml:space="preserve">フタル酸ビス（2-エチルヘキシル）（DEHP）
別称：DOP(CAS RN 117-81-7) </v>
      </c>
      <c r="E93" s="551"/>
      <c r="F93" s="551"/>
      <c r="G93" s="551"/>
      <c r="H93" s="551"/>
      <c r="I93" s="551"/>
      <c r="J93" s="551"/>
      <c r="K93" s="551"/>
      <c r="L93" s="551"/>
      <c r="M93" s="551"/>
      <c r="N93" s="551"/>
      <c r="O93" s="551"/>
      <c r="P93" s="552"/>
      <c r="Q93" s="652" t="str">
        <f>IF(C12="English","Uses for electrical and electronic equipment",IF(C12="中文","電気電子機器用途","電気電子機器用途"))</f>
        <v>電気電子機器用途</v>
      </c>
      <c r="R93" s="653"/>
      <c r="S93" s="653"/>
      <c r="T93" s="653"/>
      <c r="U93" s="653"/>
      <c r="V93" s="653"/>
      <c r="W93" s="654"/>
      <c r="X93" s="541" t="str">
        <f>IF(C12="English","Each : 1,000",IF(C12="中文","各 1,000","各 1,000"))</f>
        <v>各 1,000</v>
      </c>
      <c r="Y93" s="542"/>
      <c r="Z93" s="542"/>
      <c r="AA93" s="542"/>
      <c r="AB93" s="543"/>
      <c r="AC93" s="506"/>
      <c r="AD93" s="507"/>
      <c r="AE93" s="508"/>
    </row>
    <row r="94" spans="1:31" ht="30" customHeight="1">
      <c r="C94" s="642"/>
      <c r="D94" s="503" t="str">
        <f>IF(C12="English","Dibutyl phthalate（DBP）
(CAS RN 84-74-2)",IF(C12="中文","邻苯二甲酸二丁酯（DBP）
(CAS RN 84-74-2)","フタル酸ジブチル（DBP）
(CAS RN 84-74-2)"))</f>
        <v>フタル酸ジブチル（DBP）
(CAS RN 84-74-2)</v>
      </c>
      <c r="E94" s="504"/>
      <c r="F94" s="504"/>
      <c r="G94" s="504"/>
      <c r="H94" s="504"/>
      <c r="I94" s="504"/>
      <c r="J94" s="504"/>
      <c r="K94" s="504"/>
      <c r="L94" s="504"/>
      <c r="M94" s="504"/>
      <c r="N94" s="504"/>
      <c r="O94" s="504"/>
      <c r="P94" s="505"/>
      <c r="Q94" s="655"/>
      <c r="R94" s="656"/>
      <c r="S94" s="656"/>
      <c r="T94" s="656"/>
      <c r="U94" s="656"/>
      <c r="V94" s="656"/>
      <c r="W94" s="657"/>
      <c r="X94" s="544"/>
      <c r="Y94" s="545"/>
      <c r="Z94" s="545"/>
      <c r="AA94" s="545"/>
      <c r="AB94" s="546"/>
      <c r="AC94" s="506"/>
      <c r="AD94" s="507"/>
      <c r="AE94" s="508"/>
    </row>
    <row r="95" spans="1:31" ht="30" customHeight="1">
      <c r="C95" s="642"/>
      <c r="D95" s="503" t="str">
        <f>IF(C12="English","Benzyl butyl phthalate (BBP)
(CAS RN 85-68-7)",IF(C12="中文","邻苯二甲酸丁苄酯（BBP）
(CAS RN 85-68-7)","フタル酸ブチルベンジル(BBP)
(CAS RN 85-68-7)"))</f>
        <v>フタル酸ブチルベンジル(BBP)
(CAS RN 85-68-7)</v>
      </c>
      <c r="E95" s="504"/>
      <c r="F95" s="504"/>
      <c r="G95" s="504"/>
      <c r="H95" s="504"/>
      <c r="I95" s="504"/>
      <c r="J95" s="504"/>
      <c r="K95" s="504"/>
      <c r="L95" s="504"/>
      <c r="M95" s="504"/>
      <c r="N95" s="504"/>
      <c r="O95" s="504"/>
      <c r="P95" s="505"/>
      <c r="Q95" s="655"/>
      <c r="R95" s="656"/>
      <c r="S95" s="656"/>
      <c r="T95" s="656"/>
      <c r="U95" s="656"/>
      <c r="V95" s="656"/>
      <c r="W95" s="657"/>
      <c r="X95" s="544"/>
      <c r="Y95" s="545"/>
      <c r="Z95" s="545"/>
      <c r="AA95" s="545"/>
      <c r="AB95" s="546"/>
      <c r="AC95" s="506"/>
      <c r="AD95" s="507"/>
      <c r="AE95" s="508"/>
    </row>
    <row r="96" spans="1:31" ht="30" customHeight="1">
      <c r="C96" s="643"/>
      <c r="D96" s="509" t="str">
        <f>IF(C12="English","Diisobutyl phthalate (DIBP)
(CAS RN84-69-5)",IF(C12="中文","邻苯二甲酸二异丁酯（DIBP）
(CAS RN 84-69-5)","フタル酸ジイソブチル (DIBP)
(CAS RN 84-69-5)"))</f>
        <v>フタル酸ジイソブチル (DIBP)
(CAS RN 84-69-5)</v>
      </c>
      <c r="E96" s="510"/>
      <c r="F96" s="510"/>
      <c r="G96" s="510"/>
      <c r="H96" s="510"/>
      <c r="I96" s="510"/>
      <c r="J96" s="510"/>
      <c r="K96" s="510"/>
      <c r="L96" s="510"/>
      <c r="M96" s="510"/>
      <c r="N96" s="510"/>
      <c r="O96" s="510"/>
      <c r="P96" s="511"/>
      <c r="Q96" s="658"/>
      <c r="R96" s="659"/>
      <c r="S96" s="659"/>
      <c r="T96" s="659"/>
      <c r="U96" s="659"/>
      <c r="V96" s="659"/>
      <c r="W96" s="660"/>
      <c r="X96" s="661"/>
      <c r="Y96" s="662"/>
      <c r="Z96" s="662"/>
      <c r="AA96" s="662"/>
      <c r="AB96" s="663"/>
      <c r="AC96" s="506"/>
      <c r="AD96" s="507"/>
      <c r="AE96" s="508"/>
    </row>
    <row r="97" spans="2:37" ht="15" customHeight="1">
      <c r="C97" s="664" t="s">
        <v>0</v>
      </c>
      <c r="D97" s="638" t="str">
        <f>IF(C12="English","Phthalate esters 4 substances below",IF(C12="中文","邻苯二甲酸酯 下述4种物质","フタル酸エステル　下記４物質"))</f>
        <v>フタル酸エステル　下記４物質</v>
      </c>
      <c r="E97" s="644"/>
      <c r="F97" s="644"/>
      <c r="G97" s="644"/>
      <c r="H97" s="644"/>
      <c r="I97" s="644"/>
      <c r="J97" s="644"/>
      <c r="K97" s="644"/>
      <c r="L97" s="644"/>
      <c r="M97" s="644"/>
      <c r="N97" s="644"/>
      <c r="O97" s="644"/>
      <c r="P97" s="645"/>
      <c r="Q97" s="646"/>
      <c r="R97" s="647"/>
      <c r="S97" s="647"/>
      <c r="T97" s="647"/>
      <c r="U97" s="647"/>
      <c r="V97" s="647"/>
      <c r="W97" s="648"/>
      <c r="X97" s="630"/>
      <c r="Y97" s="631"/>
      <c r="Z97" s="631"/>
      <c r="AA97" s="631"/>
      <c r="AB97" s="632"/>
      <c r="AC97" s="649"/>
      <c r="AD97" s="650"/>
      <c r="AE97" s="651"/>
    </row>
    <row r="98" spans="2:37" ht="30" customHeight="1">
      <c r="C98" s="665"/>
      <c r="D98" s="550" t="str">
        <f>IF(C12="English","Bis(2-ethylhexyl) phthalate（DEHP）
(Another name : DOP) (CAS RN 117-81-7)",IF(C12="中文","邻苯二甲酸二（2-乙基己基）酯（DEHP)　 
别称 : DOP(CAS RN 117-81-7)","フタル酸ビス（2-エチルヘキシル）（DEHP）
別称：DOP(CAS RN 117-81-7) "))</f>
        <v xml:space="preserve">フタル酸ビス（2-エチルヘキシル）（DEHP）
別称：DOP(CAS RN 117-81-7) </v>
      </c>
      <c r="E98" s="551"/>
      <c r="F98" s="551"/>
      <c r="G98" s="551"/>
      <c r="H98" s="551"/>
      <c r="I98" s="551"/>
      <c r="J98" s="551"/>
      <c r="K98" s="551"/>
      <c r="L98" s="551"/>
      <c r="M98" s="551"/>
      <c r="N98" s="551"/>
      <c r="O98" s="551"/>
      <c r="P98" s="552"/>
      <c r="Q98" s="652" t="str">
        <f>IF(C12="English","Uses for not electrical and electronic equipment,
and for Toys or childcare products",IF(C12="中文","電気電子機器以外用途
和玩具、育児制品用途","電気電子機器以外の用途および玩具、
育児製品用途"))</f>
        <v>電気電子機器以外の用途および玩具、
育児製品用途</v>
      </c>
      <c r="R98" s="653"/>
      <c r="S98" s="653"/>
      <c r="T98" s="653"/>
      <c r="U98" s="653"/>
      <c r="V98" s="653"/>
      <c r="W98" s="654"/>
      <c r="X98" s="541" t="str">
        <f>IF(C12="English","DEHP, DBP,
BBP, DIBP
Total of 4 
substances is less
than 1,000",IF(C12="中文","DEHP、DBP、
BBP、DIBP
4种物质总量：
1,000","DEHP、DBP、
BBP、DIBP
4物質の合計：
1,000"))</f>
        <v>DEHP、DBP、
BBP、DIBP
4物質の合計：
1,000</v>
      </c>
      <c r="Y98" s="542"/>
      <c r="Z98" s="542"/>
      <c r="AA98" s="542"/>
      <c r="AB98" s="543"/>
      <c r="AC98" s="577"/>
      <c r="AD98" s="578"/>
      <c r="AE98" s="615"/>
    </row>
    <row r="99" spans="2:37" ht="30" customHeight="1">
      <c r="C99" s="665"/>
      <c r="D99" s="503" t="str">
        <f>IF(C12="English","Dibutyl phthalate（DBP）
(CAS RN 84-74-2)",IF(C12="中文","邻苯二甲酸二丁酯（DBP）
(CAS RN 84-74-2)","フタル酸ジブチル（DBP）
(CAS RN 84-74-2)"))</f>
        <v>フタル酸ジブチル（DBP）
(CAS RN 84-74-2)</v>
      </c>
      <c r="E99" s="504"/>
      <c r="F99" s="504"/>
      <c r="G99" s="504"/>
      <c r="H99" s="504"/>
      <c r="I99" s="504"/>
      <c r="J99" s="504"/>
      <c r="K99" s="504"/>
      <c r="L99" s="504"/>
      <c r="M99" s="504"/>
      <c r="N99" s="504"/>
      <c r="O99" s="504"/>
      <c r="P99" s="505"/>
      <c r="Q99" s="655"/>
      <c r="R99" s="656"/>
      <c r="S99" s="656"/>
      <c r="T99" s="656"/>
      <c r="U99" s="656"/>
      <c r="V99" s="656"/>
      <c r="W99" s="657"/>
      <c r="X99" s="544"/>
      <c r="Y99" s="545"/>
      <c r="Z99" s="545"/>
      <c r="AA99" s="545"/>
      <c r="AB99" s="546"/>
      <c r="AC99" s="580"/>
      <c r="AD99" s="581"/>
      <c r="AE99" s="626"/>
    </row>
    <row r="100" spans="2:37" ht="30" customHeight="1">
      <c r="C100" s="665"/>
      <c r="D100" s="503" t="str">
        <f>IF(C12="English","Benzyl butyl phthalate (BBP)
(CAS RN 85-68-7)",IF(C12="中文","邻苯二甲酸丁苄酯（BBP）
(CAS RN 85-68-7)","フタル酸ブチルベンジル(BBP)
(CAS RN 85-68-7)"))</f>
        <v>フタル酸ブチルベンジル(BBP)
(CAS RN 85-68-7)</v>
      </c>
      <c r="E100" s="504"/>
      <c r="F100" s="504"/>
      <c r="G100" s="504"/>
      <c r="H100" s="504"/>
      <c r="I100" s="504"/>
      <c r="J100" s="504"/>
      <c r="K100" s="504"/>
      <c r="L100" s="504"/>
      <c r="M100" s="504"/>
      <c r="N100" s="504"/>
      <c r="O100" s="504"/>
      <c r="P100" s="505"/>
      <c r="Q100" s="655"/>
      <c r="R100" s="656"/>
      <c r="S100" s="656"/>
      <c r="T100" s="656"/>
      <c r="U100" s="656"/>
      <c r="V100" s="656"/>
      <c r="W100" s="657"/>
      <c r="X100" s="544"/>
      <c r="Y100" s="545"/>
      <c r="Z100" s="545"/>
      <c r="AA100" s="545"/>
      <c r="AB100" s="546"/>
      <c r="AC100" s="580"/>
      <c r="AD100" s="581"/>
      <c r="AE100" s="626"/>
    </row>
    <row r="101" spans="2:37" ht="30" customHeight="1">
      <c r="C101" s="666"/>
      <c r="D101" s="509" t="str">
        <f>IF(C12="English","Diisobutyl phthalate (DIBP)
(CAS RN84-69-5)",IF(C12="中文","邻苯二甲酸二异丁酯（DIBP）
(CAS RN 84-69-5)","フタル酸ジイソブチル (DIBP)
(CAS RN 84-69-5)"))</f>
        <v>フタル酸ジイソブチル (DIBP)
(CAS RN 84-69-5)</v>
      </c>
      <c r="E101" s="510"/>
      <c r="F101" s="510"/>
      <c r="G101" s="510"/>
      <c r="H101" s="510"/>
      <c r="I101" s="510"/>
      <c r="J101" s="510"/>
      <c r="K101" s="510"/>
      <c r="L101" s="510"/>
      <c r="M101" s="510"/>
      <c r="N101" s="510"/>
      <c r="O101" s="510"/>
      <c r="P101" s="511"/>
      <c r="Q101" s="658"/>
      <c r="R101" s="659"/>
      <c r="S101" s="659"/>
      <c r="T101" s="659"/>
      <c r="U101" s="659"/>
      <c r="V101" s="659"/>
      <c r="W101" s="660"/>
      <c r="X101" s="661"/>
      <c r="Y101" s="662"/>
      <c r="Z101" s="662"/>
      <c r="AA101" s="662"/>
      <c r="AB101" s="663"/>
      <c r="AC101" s="627"/>
      <c r="AD101" s="628"/>
      <c r="AE101" s="629"/>
    </row>
    <row r="102" spans="2:37" ht="15" customHeight="1">
      <c r="C102" s="520">
        <v>8</v>
      </c>
      <c r="D102" s="638" t="str">
        <f>IF(C12="English","Phthalate esters 3 substances below",IF(C12="中文","邻苯二甲酸酯 下述3种物质","フタル酸エステル　下記3物質"))</f>
        <v>フタル酸エステル　下記3物質</v>
      </c>
      <c r="E102" s="644"/>
      <c r="F102" s="644"/>
      <c r="G102" s="644"/>
      <c r="H102" s="644"/>
      <c r="I102" s="644"/>
      <c r="J102" s="644"/>
      <c r="K102" s="644"/>
      <c r="L102" s="644"/>
      <c r="M102" s="644"/>
      <c r="N102" s="644"/>
      <c r="O102" s="644"/>
      <c r="P102" s="645"/>
      <c r="Q102" s="646"/>
      <c r="R102" s="647"/>
      <c r="S102" s="647"/>
      <c r="T102" s="647"/>
      <c r="U102" s="647"/>
      <c r="V102" s="647"/>
      <c r="W102" s="648"/>
      <c r="X102" s="630"/>
      <c r="Y102" s="631"/>
      <c r="Z102" s="631"/>
      <c r="AA102" s="631"/>
      <c r="AB102" s="632"/>
      <c r="AC102" s="649"/>
      <c r="AD102" s="650"/>
      <c r="AE102" s="651"/>
    </row>
    <row r="103" spans="2:37" ht="45" customHeight="1">
      <c r="C103" s="521"/>
      <c r="D103" s="550" t="str">
        <f>IF(C12="English","Diisononyl phthalate（DINP）
(CAS RN 28553-12-0)
(CAS RN68515-48-0)",IF(C12="中文","邻苯二甲酸二异壬酯（DINP）
(CAS RN 28553-12-0)
(CAS RN68515-48-0)","フタル酸ジイソノニル（DINP）
(CAS RN 28553-12-0)
(CAS RN68515-48-0)"))</f>
        <v>フタル酸ジイソノニル（DINP）
(CAS RN 28553-12-0)
(CAS RN68515-48-0)</v>
      </c>
      <c r="E103" s="551"/>
      <c r="F103" s="551"/>
      <c r="G103" s="551"/>
      <c r="H103" s="551"/>
      <c r="I103" s="551"/>
      <c r="J103" s="551"/>
      <c r="K103" s="551"/>
      <c r="L103" s="551"/>
      <c r="M103" s="551"/>
      <c r="N103" s="551"/>
      <c r="O103" s="551"/>
      <c r="P103" s="552"/>
      <c r="Q103" s="670" t="str">
        <f>IF(C12="English","Toys or childcare products",IF(C12="中文","玩具、育児制品用途","玩具、育児製品用途"))</f>
        <v>玩具、育児製品用途</v>
      </c>
      <c r="R103" s="671"/>
      <c r="S103" s="671"/>
      <c r="T103" s="671"/>
      <c r="U103" s="671"/>
      <c r="V103" s="671"/>
      <c r="W103" s="672"/>
      <c r="X103" s="541" t="str">
        <f>IF(C12="English","DINP, DIDP, 
DNOP
Total of 3
substances is less
than 1,000",IF(C12="中文","DINP、DIDP、
DNOP 
3种物质总量：
1,000","DINP、DIDP、
DNOP 
3物質の合計：
1,000"))</f>
        <v>DINP、DIDP、
DNOP 
3物質の合計：
1,000</v>
      </c>
      <c r="Y103" s="542"/>
      <c r="Z103" s="542"/>
      <c r="AA103" s="542"/>
      <c r="AB103" s="543"/>
      <c r="AC103" s="577"/>
      <c r="AD103" s="578"/>
      <c r="AE103" s="615"/>
    </row>
    <row r="104" spans="2:37" ht="30" customHeight="1">
      <c r="C104" s="521"/>
      <c r="D104" s="503" t="str">
        <f>IF(C12="English","Diisodecyl phthalate（DIDP）
(CAS RN 26761-40-0)",IF(C12="中文","邻邻苯二甲酸二异癸酯（DIDP）
(CAS RN 26761-40-0)","フタル酸ジイソデシル（DIDP）
(CAS RN 26761-40-0)"))</f>
        <v>フタル酸ジイソデシル（DIDP）
(CAS RN 26761-40-0)</v>
      </c>
      <c r="E104" s="504"/>
      <c r="F104" s="504"/>
      <c r="G104" s="504"/>
      <c r="H104" s="504"/>
      <c r="I104" s="504"/>
      <c r="J104" s="504"/>
      <c r="K104" s="504"/>
      <c r="L104" s="504"/>
      <c r="M104" s="504"/>
      <c r="N104" s="504"/>
      <c r="O104" s="504"/>
      <c r="P104" s="505"/>
      <c r="Q104" s="673"/>
      <c r="R104" s="674"/>
      <c r="S104" s="674"/>
      <c r="T104" s="674"/>
      <c r="U104" s="674"/>
      <c r="V104" s="674"/>
      <c r="W104" s="675"/>
      <c r="X104" s="544"/>
      <c r="Y104" s="545"/>
      <c r="Z104" s="545"/>
      <c r="AA104" s="545"/>
      <c r="AB104" s="546"/>
      <c r="AC104" s="580"/>
      <c r="AD104" s="581"/>
      <c r="AE104" s="626"/>
    </row>
    <row r="105" spans="2:37" ht="30" customHeight="1">
      <c r="C105" s="522"/>
      <c r="D105" s="509" t="str">
        <f>IF(C12="English","Di-n-octyl phthalate（DNOP）
(CAS RN 117-84-0)",IF(C12="中文","邻苯二甲酸二正辛酯（DNOP）
(CAS RN 117-84-0)","フタル酸ジ-ｎ-オクチル（DNOP）
(CAS RN 117-84-0)"))</f>
        <v>フタル酸ジ-ｎ-オクチル（DNOP）
(CAS RN 117-84-0)</v>
      </c>
      <c r="E105" s="510"/>
      <c r="F105" s="510"/>
      <c r="G105" s="510"/>
      <c r="H105" s="510"/>
      <c r="I105" s="510"/>
      <c r="J105" s="510"/>
      <c r="K105" s="510"/>
      <c r="L105" s="510"/>
      <c r="M105" s="510"/>
      <c r="N105" s="510"/>
      <c r="O105" s="510"/>
      <c r="P105" s="511"/>
      <c r="Q105" s="676"/>
      <c r="R105" s="677"/>
      <c r="S105" s="677"/>
      <c r="T105" s="677"/>
      <c r="U105" s="677"/>
      <c r="V105" s="677"/>
      <c r="W105" s="678"/>
      <c r="X105" s="661"/>
      <c r="Y105" s="662"/>
      <c r="Z105" s="662"/>
      <c r="AA105" s="662"/>
      <c r="AB105" s="663"/>
      <c r="AC105" s="627"/>
      <c r="AD105" s="628"/>
      <c r="AE105" s="629"/>
    </row>
    <row r="106" spans="2:37" ht="15" customHeight="1">
      <c r="C106" s="152"/>
      <c r="D106" s="165"/>
      <c r="E106" s="166"/>
      <c r="F106" s="166"/>
      <c r="G106" s="166"/>
      <c r="H106" s="166"/>
      <c r="I106" s="166"/>
      <c r="J106" s="166"/>
      <c r="K106" s="166"/>
      <c r="L106" s="166"/>
      <c r="M106" s="166"/>
      <c r="N106" s="166"/>
      <c r="O106" s="166"/>
      <c r="P106" s="166"/>
      <c r="Q106" s="157"/>
      <c r="R106" s="83"/>
      <c r="S106" s="83"/>
      <c r="T106" s="83"/>
      <c r="U106" s="83"/>
      <c r="V106" s="83"/>
      <c r="W106" s="83"/>
      <c r="X106" s="162"/>
      <c r="Y106" s="166"/>
      <c r="Z106" s="166"/>
      <c r="AA106" s="166"/>
      <c r="AB106" s="166"/>
      <c r="AC106" s="164"/>
      <c r="AD106" s="164"/>
      <c r="AE106" s="114"/>
    </row>
    <row r="107" spans="2:37" ht="13.5" customHeight="1">
      <c r="B107" s="30"/>
      <c r="C107" s="199"/>
      <c r="D107" s="31"/>
      <c r="E107" s="31"/>
      <c r="F107" s="31"/>
      <c r="G107" s="31"/>
      <c r="H107" s="31"/>
      <c r="I107" s="31"/>
      <c r="J107" s="31"/>
      <c r="K107" s="31"/>
      <c r="L107" s="31"/>
      <c r="M107" s="31"/>
      <c r="N107" s="31"/>
      <c r="O107" s="31"/>
      <c r="P107" s="31"/>
      <c r="Q107" s="157"/>
      <c r="R107" s="157"/>
      <c r="S107" s="157"/>
      <c r="T107" s="157"/>
      <c r="U107" s="34"/>
      <c r="V107" s="34"/>
      <c r="W107" s="34"/>
      <c r="X107" s="157"/>
      <c r="Y107" s="157"/>
      <c r="Z107" s="32"/>
      <c r="AA107" s="157"/>
      <c r="AB107" s="157"/>
      <c r="AC107" s="115"/>
      <c r="AD107" s="115"/>
      <c r="AE107" s="115"/>
      <c r="AH107" s="3"/>
      <c r="AI107" s="3"/>
      <c r="AJ107" s="3"/>
      <c r="AK107" s="3"/>
    </row>
    <row r="108" spans="2:37" ht="40.049999999999997" customHeight="1">
      <c r="C108" s="159">
        <v>9</v>
      </c>
      <c r="D108" s="523" t="str">
        <f>IF(C12="English","Polychlorinated biphenyls (PCB)",IF(C12="中文","PCB；多氯化联苯","PCB；ポリ塩化ビフェニル"))</f>
        <v>PCB；ポリ塩化ビフェニル</v>
      </c>
      <c r="E108" s="524"/>
      <c r="F108" s="524"/>
      <c r="G108" s="524"/>
      <c r="H108" s="524"/>
      <c r="I108" s="524"/>
      <c r="J108" s="524"/>
      <c r="K108" s="524"/>
      <c r="L108" s="524"/>
      <c r="M108" s="524"/>
      <c r="N108" s="524"/>
      <c r="O108" s="524"/>
      <c r="P108" s="525"/>
      <c r="Q108" s="667" t="str">
        <f>IF(C12="English","All uses",IF(C12="中文","所有用途","全ての用途"))</f>
        <v>全ての用途</v>
      </c>
      <c r="R108" s="668"/>
      <c r="S108" s="668"/>
      <c r="T108" s="668"/>
      <c r="U108" s="668"/>
      <c r="V108" s="668"/>
      <c r="W108" s="669"/>
      <c r="X108" s="605" t="str">
        <f>IF(C12="English","Intentionally added or 50",IF(C12="中文","禁止有意添加
且　50","意図的添加禁止
且つ 50"))</f>
        <v>意図的添加禁止
且つ 50</v>
      </c>
      <c r="Y108" s="606"/>
      <c r="Z108" s="606"/>
      <c r="AA108" s="606"/>
      <c r="AB108" s="607"/>
      <c r="AC108" s="506"/>
      <c r="AD108" s="507"/>
      <c r="AE108" s="508"/>
    </row>
    <row r="109" spans="2:37" ht="40.049999999999997" customHeight="1">
      <c r="C109" s="159">
        <v>10</v>
      </c>
      <c r="D109" s="523" t="str">
        <f>IF(C12="English","Polychlorinated naphthalenes (PCN)
(1 or more chlorine atoms)",IF(C12="中文","PCN；聚氯化萘
(氯数 1以上)","PCN；ポリ塩化ナフタレン
(塩素数 1以上)"))</f>
        <v>PCN；ポリ塩化ナフタレン
(塩素数 1以上)</v>
      </c>
      <c r="E109" s="524"/>
      <c r="F109" s="524"/>
      <c r="G109" s="524"/>
      <c r="H109" s="524"/>
      <c r="I109" s="524"/>
      <c r="J109" s="524"/>
      <c r="K109" s="524"/>
      <c r="L109" s="524"/>
      <c r="M109" s="524"/>
      <c r="N109" s="524"/>
      <c r="O109" s="524"/>
      <c r="P109" s="525"/>
      <c r="Q109" s="667" t="str">
        <f>IF(C12="English","All uses",IF(C12="中文","所有用途","全ての用途"))</f>
        <v>全ての用途</v>
      </c>
      <c r="R109" s="668"/>
      <c r="S109" s="668"/>
      <c r="T109" s="668"/>
      <c r="U109" s="668"/>
      <c r="V109" s="668"/>
      <c r="W109" s="669"/>
      <c r="X109" s="605" t="str">
        <f>IF(C12="English","Intentionally added or 50",IF(C12="中文","禁止有意添加
且　50","意図的添加禁止
且つ 50"))</f>
        <v>意図的添加禁止
且つ 50</v>
      </c>
      <c r="Y109" s="606"/>
      <c r="Z109" s="606"/>
      <c r="AA109" s="606"/>
      <c r="AB109" s="607"/>
      <c r="AC109" s="506"/>
      <c r="AD109" s="507"/>
      <c r="AE109" s="508"/>
    </row>
    <row r="110" spans="2:37" ht="40.049999999999997" customHeight="1">
      <c r="C110" s="159">
        <v>11</v>
      </c>
      <c r="D110" s="523" t="str">
        <f>IF(C12="English","Polychlorinated terphenyls (PCT)",IF(C12="中文","PCT；聚氯三联苯","PCT；ポリ塩化ターフェニル"))</f>
        <v>PCT；ポリ塩化ターフェニル</v>
      </c>
      <c r="E110" s="524"/>
      <c r="F110" s="524"/>
      <c r="G110" s="524"/>
      <c r="H110" s="524"/>
      <c r="I110" s="524"/>
      <c r="J110" s="524"/>
      <c r="K110" s="524"/>
      <c r="L110" s="524"/>
      <c r="M110" s="524"/>
      <c r="N110" s="524"/>
      <c r="O110" s="524"/>
      <c r="P110" s="525"/>
      <c r="Q110" s="667" t="str">
        <f>IF(C12="English","All uses",IF(C12="中文","所有用途","全ての用途"))</f>
        <v>全ての用途</v>
      </c>
      <c r="R110" s="668"/>
      <c r="S110" s="668"/>
      <c r="T110" s="668"/>
      <c r="U110" s="668"/>
      <c r="V110" s="668"/>
      <c r="W110" s="669"/>
      <c r="X110" s="605" t="str">
        <f>IF(C12="English","Intentionally added or 50",IF(C12="中文","禁止有意添加
且　50","意図的添加禁止
且つ 50"))</f>
        <v>意図的添加禁止
且つ 50</v>
      </c>
      <c r="Y110" s="606"/>
      <c r="Z110" s="606"/>
      <c r="AA110" s="606"/>
      <c r="AB110" s="607"/>
      <c r="AC110" s="506"/>
      <c r="AD110" s="507"/>
      <c r="AE110" s="508"/>
    </row>
    <row r="111" spans="2:37" ht="30" customHeight="1">
      <c r="C111" s="159">
        <v>12</v>
      </c>
      <c r="D111" s="523" t="str">
        <f>IF(C12="English","Asbestos",IF(C12="中文","石棉类","アスベスト類"))</f>
        <v>アスベスト類</v>
      </c>
      <c r="E111" s="524"/>
      <c r="F111" s="524"/>
      <c r="G111" s="524"/>
      <c r="H111" s="524"/>
      <c r="I111" s="524"/>
      <c r="J111" s="524"/>
      <c r="K111" s="524"/>
      <c r="L111" s="524"/>
      <c r="M111" s="524"/>
      <c r="N111" s="524"/>
      <c r="O111" s="524"/>
      <c r="P111" s="525"/>
      <c r="Q111" s="667" t="str">
        <f>IF(C12="English","All uses",IF(C12="中文","所有用途","全ての用途"))</f>
        <v>全ての用途</v>
      </c>
      <c r="R111" s="668"/>
      <c r="S111" s="668"/>
      <c r="T111" s="668"/>
      <c r="U111" s="668"/>
      <c r="V111" s="668"/>
      <c r="W111" s="669"/>
      <c r="X111" s="605" t="str">
        <f>IF(C12="English","Intentionally 
added",IF(C12="中文","禁止有意添加","意図的添加禁止"))</f>
        <v>意図的添加禁止</v>
      </c>
      <c r="Y111" s="606"/>
      <c r="Z111" s="606"/>
      <c r="AA111" s="606"/>
      <c r="AB111" s="607"/>
      <c r="AC111" s="506"/>
      <c r="AD111" s="507"/>
      <c r="AE111" s="508"/>
    </row>
    <row r="112" spans="2:37" ht="50.1" customHeight="1">
      <c r="C112" s="159">
        <v>13</v>
      </c>
      <c r="D112" s="523" t="str">
        <f>IF(C12="English","Short-chain chlorinated paraffin
(carbon number 10-13)（CASRN85535-84-8）",IF(C12="中文","短链氯化石蜡(碳数10-13)
(CAS RN85535-84-8）","短鎖塩素化パラフィン(炭素数10-13)
(CAS RN85535-84-8）"))</f>
        <v>短鎖塩素化パラフィン(炭素数10-13)
(CAS RN85535-84-8）</v>
      </c>
      <c r="E112" s="524"/>
      <c r="F112" s="524"/>
      <c r="G112" s="524"/>
      <c r="H112" s="524"/>
      <c r="I112" s="524"/>
      <c r="J112" s="524"/>
      <c r="K112" s="524"/>
      <c r="L112" s="524"/>
      <c r="M112" s="524"/>
      <c r="N112" s="524"/>
      <c r="O112" s="524"/>
      <c r="P112" s="525"/>
      <c r="Q112" s="667" t="str">
        <f>IF(C12="English","All uses",IF(C12="中文","所有用途","全ての用途"))</f>
        <v>全ての用途</v>
      </c>
      <c r="R112" s="668"/>
      <c r="S112" s="668"/>
      <c r="T112" s="668"/>
      <c r="U112" s="668"/>
      <c r="V112" s="668"/>
      <c r="W112" s="669"/>
      <c r="X112" s="605" t="str">
        <f>IF(C12="English","Intentionally added or 1,000",IF(C12="中文","禁止有意添加
且　1,000","意図的添加禁止
且つ 1,000"))</f>
        <v>意図的添加禁止
且つ 1,000</v>
      </c>
      <c r="Y112" s="606"/>
      <c r="Z112" s="606"/>
      <c r="AA112" s="606"/>
      <c r="AB112" s="607"/>
      <c r="AC112" s="506"/>
      <c r="AD112" s="507"/>
      <c r="AE112" s="508"/>
    </row>
    <row r="113" spans="3:31" ht="120" customHeight="1">
      <c r="C113" s="168">
        <v>14</v>
      </c>
      <c r="D113" s="523" t="str">
        <f>IF(C12="English","Ozone Depleting Substances
* Montreal Protocol on Substances that Deplete the Ozone Layer
Appendix A (Group I, II)
Appendix B (Group I, II, III)
Appendix C (Group I, II, III)
Appendix E (Group I)",IF(C12="中文","臭氧层消耗物质   *蒙特利尔协议
附属文件A（类别Ⅰ, Ⅱ）
附属文件B（类别Ⅰ, Ⅱ, Ⅲ）
附属文件C（类别Ⅰ, Ⅱ, Ⅲ）
附属文件E（类别Ⅰ）
","オゾン層破壊物質
*モントリオール議定書
附属書A（グループⅠ、Ⅱ）
附属書B（グループⅠ、Ⅱ、Ⅲ）
附属書C（グループⅠ、Ⅱ、Ⅲ）
附属書E（グループⅠ）"))</f>
        <v>オゾン層破壊物質
*モントリオール議定書
附属書A（グループⅠ、Ⅱ）
附属書B（グループⅠ、Ⅱ、Ⅲ）
附属書C（グループⅠ、Ⅱ、Ⅲ）
附属書E（グループⅠ）</v>
      </c>
      <c r="E113" s="524"/>
      <c r="F113" s="524"/>
      <c r="G113" s="524"/>
      <c r="H113" s="524"/>
      <c r="I113" s="524"/>
      <c r="J113" s="524"/>
      <c r="K113" s="524"/>
      <c r="L113" s="524"/>
      <c r="M113" s="524"/>
      <c r="N113" s="524"/>
      <c r="O113" s="524"/>
      <c r="P113" s="525"/>
      <c r="Q113" s="667" t="str">
        <f>IF(C12="English","All uses",IF(C12="中文","所有用途","全ての用途"))</f>
        <v>全ての用途</v>
      </c>
      <c r="R113" s="668"/>
      <c r="S113" s="668"/>
      <c r="T113" s="668"/>
      <c r="U113" s="668"/>
      <c r="V113" s="668"/>
      <c r="W113" s="669"/>
      <c r="X113" s="605" t="str">
        <f>IF(C12="English","Intentionally 
added",IF(C12="中文","禁止有意添加","意図的添加禁止"))</f>
        <v>意図的添加禁止</v>
      </c>
      <c r="Y113" s="606"/>
      <c r="Z113" s="606"/>
      <c r="AA113" s="606"/>
      <c r="AB113" s="607"/>
      <c r="AC113" s="506"/>
      <c r="AD113" s="507"/>
      <c r="AE113" s="508"/>
    </row>
    <row r="114" spans="3:31" ht="30" customHeight="1">
      <c r="C114" s="160">
        <v>15</v>
      </c>
      <c r="D114" s="679" t="str">
        <f>IF(C12="English","Hydrofluorocarbon (HFC), Perfluoro carbon (PFC), Sulfur hexafluoride(SF6)",IF(C12="中文","氢氟烃（HFC)、全氟碳(PFC)、六氟化硫（SF6）","ハイドロフルオロカーボン（HFC)、パーフルオロカーボン(PFC)、六フッ化硫黄（SF6）"))</f>
        <v>ハイドロフルオロカーボン（HFC)、パーフルオロカーボン(PFC)、六フッ化硫黄（SF6）</v>
      </c>
      <c r="E114" s="680"/>
      <c r="F114" s="680"/>
      <c r="G114" s="680"/>
      <c r="H114" s="680"/>
      <c r="I114" s="680"/>
      <c r="J114" s="680"/>
      <c r="K114" s="680"/>
      <c r="L114" s="680"/>
      <c r="M114" s="680"/>
      <c r="N114" s="680"/>
      <c r="O114" s="680"/>
      <c r="P114" s="681"/>
      <c r="Q114" s="667" t="str">
        <f>IF(C12="English","All uses",IF(C12="中文","所有用途","全ての用途"))</f>
        <v>全ての用途</v>
      </c>
      <c r="R114" s="668"/>
      <c r="S114" s="668"/>
      <c r="T114" s="668"/>
      <c r="U114" s="668"/>
      <c r="V114" s="668"/>
      <c r="W114" s="669"/>
      <c r="X114" s="605" t="str">
        <f>IF(C12="English","Intentionally 
added",IF(C12="中文","禁止有意添加","意図的添加禁止"))</f>
        <v>意図的添加禁止</v>
      </c>
      <c r="Y114" s="606"/>
      <c r="Z114" s="606"/>
      <c r="AA114" s="606"/>
      <c r="AB114" s="607"/>
      <c r="AC114" s="506"/>
      <c r="AD114" s="507"/>
      <c r="AE114" s="508"/>
    </row>
    <row r="115" spans="3:31" ht="70.05" customHeight="1">
      <c r="C115" s="160">
        <v>16</v>
      </c>
      <c r="D115" s="679" t="str">
        <f>IF(C12="English","Bis (tributyl tin) = oxide (TBTO)
CASRN56-35-9）",IF(C12="中文","双（三丁基锡）=氧化物；TBTO
(CAS RN 56-35-9)","ビス（トリブチルスズ）=オキシド；TBTO
(CAS RN 56-35-9)"))</f>
        <v>ビス（トリブチルスズ）=オキシド；TBTO
(CAS RN 56-35-9)</v>
      </c>
      <c r="E115" s="680"/>
      <c r="F115" s="680"/>
      <c r="G115" s="680"/>
      <c r="H115" s="680"/>
      <c r="I115" s="680"/>
      <c r="J115" s="680"/>
      <c r="K115" s="680"/>
      <c r="L115" s="680"/>
      <c r="M115" s="680"/>
      <c r="N115" s="680"/>
      <c r="O115" s="680"/>
      <c r="P115" s="681"/>
      <c r="Q115" s="667" t="str">
        <f>IF(C12="English","All uses",IF(C12="中文","所有用途","全ての用途"))</f>
        <v>全ての用途</v>
      </c>
      <c r="R115" s="668"/>
      <c r="S115" s="668"/>
      <c r="T115" s="668"/>
      <c r="U115" s="668"/>
      <c r="V115" s="668"/>
      <c r="W115" s="669"/>
      <c r="X115" s="605" t="str">
        <f>IF(C12="English","Intentionally added 
or 1,000ppm 
as Tin atom",IF(C12="中文","禁止有意添加
且　
锡元素1,000","意図的添加禁止
且つ
スズ元素として1,000"))</f>
        <v>意図的添加禁止
且つ
スズ元素として1,000</v>
      </c>
      <c r="Y115" s="606"/>
      <c r="Z115" s="606"/>
      <c r="AA115" s="606"/>
      <c r="AB115" s="607"/>
      <c r="AC115" s="506"/>
      <c r="AD115" s="507"/>
      <c r="AE115" s="508"/>
    </row>
    <row r="116" spans="3:31" ht="70.05" customHeight="1">
      <c r="C116" s="159">
        <v>17</v>
      </c>
      <c r="D116" s="638" t="str">
        <f>IF(C12="English","Trisubstituted organotin (Tributyl tin (TBT) compounds, Triphenyl tin (TPT) compounds, etc.)",IF(C12="中文","三取代有机锡化合物(三丁基锡（TBT）化合物、三苯基锡（TPT）化合物等）","三置換有機スズ化合物（トリブチルスズ(TBT)化合物、トリフェニルスズ(TPT)化合物など）"))</f>
        <v>三置換有機スズ化合物（トリブチルスズ(TBT)化合物、トリフェニルスズ(TPT)化合物など）</v>
      </c>
      <c r="E116" s="644"/>
      <c r="F116" s="644"/>
      <c r="G116" s="644"/>
      <c r="H116" s="644"/>
      <c r="I116" s="644"/>
      <c r="J116" s="644"/>
      <c r="K116" s="644"/>
      <c r="L116" s="644"/>
      <c r="M116" s="644"/>
      <c r="N116" s="644"/>
      <c r="O116" s="644"/>
      <c r="P116" s="645"/>
      <c r="Q116" s="667" t="str">
        <f>IF(C12="English","All uses",IF(C12="中文","所有用途","全ての用途"))</f>
        <v>全ての用途</v>
      </c>
      <c r="R116" s="668"/>
      <c r="S116" s="668"/>
      <c r="T116" s="668"/>
      <c r="U116" s="668"/>
      <c r="V116" s="668"/>
      <c r="W116" s="669"/>
      <c r="X116" s="605" t="str">
        <f>IF(C12="English","Intentionally added 
or 1,000ppm 
as Tin atom",IF(C12="中文","禁止有意添加
且　
锡元素1,000","意図的添加禁止
且つ
スズ元素として1,000"))</f>
        <v>意図的添加禁止
且つ
スズ元素として1,000</v>
      </c>
      <c r="Y116" s="606"/>
      <c r="Z116" s="606"/>
      <c r="AA116" s="606"/>
      <c r="AB116" s="607"/>
      <c r="AC116" s="506"/>
      <c r="AD116" s="507"/>
      <c r="AE116" s="508"/>
    </row>
    <row r="117" spans="3:31" ht="30" customHeight="1">
      <c r="C117" s="159">
        <v>18</v>
      </c>
      <c r="D117" s="638" t="str">
        <f>IF(C12="English","Dibutyl tin (DBT) compounds",IF(C12="中文","二丁基锡(DBT)化合物","ジブチルスズ(DBT)化合物"))</f>
        <v>ジブチルスズ(DBT)化合物</v>
      </c>
      <c r="E117" s="644"/>
      <c r="F117" s="644"/>
      <c r="G117" s="644"/>
      <c r="H117" s="644"/>
      <c r="I117" s="644"/>
      <c r="J117" s="644"/>
      <c r="K117" s="644"/>
      <c r="L117" s="644"/>
      <c r="M117" s="644"/>
      <c r="N117" s="644"/>
      <c r="O117" s="644"/>
      <c r="P117" s="645"/>
      <c r="Q117" s="667" t="str">
        <f>IF(C12="English","All uses",IF(C12="中文","所有用途","全ての用途"))</f>
        <v>全ての用途</v>
      </c>
      <c r="R117" s="668"/>
      <c r="S117" s="668"/>
      <c r="T117" s="668"/>
      <c r="U117" s="668"/>
      <c r="V117" s="668"/>
      <c r="W117" s="669"/>
      <c r="X117" s="605" t="str">
        <f>IF(C12="English","1,000ppm as Tin atom",IF(C12="中文","锡元素1,000","スズ元素として1,000"))</f>
        <v>スズ元素として1,000</v>
      </c>
      <c r="Y117" s="606"/>
      <c r="Z117" s="606"/>
      <c r="AA117" s="606"/>
      <c r="AB117" s="607"/>
      <c r="AC117" s="506"/>
      <c r="AD117" s="507"/>
      <c r="AE117" s="508"/>
    </row>
    <row r="118" spans="3:31" ht="147.75" customHeight="1">
      <c r="C118" s="159">
        <v>19</v>
      </c>
      <c r="D118" s="638" t="str">
        <f>IF(C12="English","Dioctyl tin (DOT) compounds",IF(C12="中文","二辛基锡(DOT)化合物","ジオクチルスズ(DOT)化合物"))</f>
        <v>ジオクチルスズ(DOT)化合物</v>
      </c>
      <c r="E118" s="644"/>
      <c r="F118" s="644"/>
      <c r="G118" s="644"/>
      <c r="H118" s="644"/>
      <c r="I118" s="644"/>
      <c r="J118" s="644"/>
      <c r="K118" s="644"/>
      <c r="L118" s="644"/>
      <c r="M118" s="644"/>
      <c r="N118" s="644"/>
      <c r="O118" s="644"/>
      <c r="P118" s="645"/>
      <c r="Q118" s="638" t="str">
        <f>IF(C12="English","Only subject to the following:
・Textile products in contact with human skin
・Toys and childcare articles
・2 solutionat room temperature curing (RTV-2) molding kit",IF(C12="中文","仅适用于以下物品
・接触皮肤的纤维产品
・玩具、儿童用品、育儿产品
・双组分室温固化（RTV-2）成型试剂盒
","下記のみに適用
・皮膚に触れる繊維製品
・玩具、子供向け製品,育児製品
・2液室温硬化（RTV-2）成型キット"))</f>
        <v>下記のみに適用
・皮膚に触れる繊維製品
・玩具、子供向け製品,育児製品
・2液室温硬化（RTV-2）成型キット</v>
      </c>
      <c r="R118" s="644"/>
      <c r="S118" s="644"/>
      <c r="T118" s="644"/>
      <c r="U118" s="644"/>
      <c r="V118" s="644"/>
      <c r="W118" s="645"/>
      <c r="X118" s="605" t="str">
        <f>IF(C12="English","1,000ppm as Tin atom",IF(C12="中文","锡元素1,000","スズ元素として1,000"))</f>
        <v>スズ元素として1,000</v>
      </c>
      <c r="Y118" s="606"/>
      <c r="Z118" s="606"/>
      <c r="AA118" s="606"/>
      <c r="AB118" s="607"/>
      <c r="AC118" s="506"/>
      <c r="AD118" s="507"/>
      <c r="AE118" s="508"/>
    </row>
    <row r="119" spans="3:31" ht="45" customHeight="1">
      <c r="C119" s="161">
        <v>20</v>
      </c>
      <c r="D119" s="679" t="str">
        <f>IF(C12="English","Specified amines compounds and some azo dye and pigment forming specified amines (coloring agent) (*1)",IF(C12="中文","特定胺化合物及生成特定胺类的部分偶氮染料及颜料（着色剂）（*1）","特定アミン化合物および特定アミン類を生成する一部のアゾ染料・顔料（着色剤）（*1）"))</f>
        <v>特定アミン化合物および特定アミン類を生成する一部のアゾ染料・顔料（着色剤）（*1）</v>
      </c>
      <c r="E119" s="680"/>
      <c r="F119" s="680"/>
      <c r="G119" s="680"/>
      <c r="H119" s="680"/>
      <c r="I119" s="680"/>
      <c r="J119" s="680"/>
      <c r="K119" s="680"/>
      <c r="L119" s="680"/>
      <c r="M119" s="680"/>
      <c r="N119" s="680"/>
      <c r="O119" s="680"/>
      <c r="P119" s="681"/>
      <c r="Q119" s="679" t="str">
        <f>IF(C12="English","All uses",IF(C12="中文","所有用途","全ての用途"))</f>
        <v>全ての用途</v>
      </c>
      <c r="R119" s="680"/>
      <c r="S119" s="680"/>
      <c r="T119" s="680"/>
      <c r="U119" s="680"/>
      <c r="V119" s="680"/>
      <c r="W119" s="681"/>
      <c r="X119" s="605">
        <v>30</v>
      </c>
      <c r="Y119" s="606"/>
      <c r="Z119" s="606"/>
      <c r="AA119" s="606"/>
      <c r="AB119" s="607"/>
      <c r="AC119" s="506"/>
      <c r="AD119" s="507"/>
      <c r="AE119" s="508"/>
    </row>
    <row r="120" spans="3:31" ht="80.099999999999994" customHeight="1">
      <c r="C120" s="158">
        <v>21</v>
      </c>
      <c r="D120" s="679" t="str">
        <f>IF(C12="English","Formaldehyde; Formalin
(CAS RN 50-00-0)",IF(C12="中文","甲醛；福尔马林
(CAS RN 50-00-0)","ホルムアルデヒド；ホルマリン
(CAS RN 50-00-0)"))</f>
        <v>ホルムアルデヒド；ホルマリン
(CAS RN 50-00-0)</v>
      </c>
      <c r="E120" s="680"/>
      <c r="F120" s="680"/>
      <c r="G120" s="680"/>
      <c r="H120" s="680"/>
      <c r="I120" s="680"/>
      <c r="J120" s="680"/>
      <c r="K120" s="680"/>
      <c r="L120" s="680"/>
      <c r="M120" s="680"/>
      <c r="N120" s="680"/>
      <c r="O120" s="680"/>
      <c r="P120" s="681"/>
      <c r="Q120" s="638" t="str">
        <f>IF(C12="English","Timber products (e.g. speakers and racks, etc.) which are made of fiber boards, particle board, or plywood",IF(C12="中文","使用纤维板、刨花板以及复合板的木工产品（扬声器、架子等）","繊維板（ファイバーボード）、パーティクルボードおよび合板を用いた木工製品（スピーカー、ラック等）"))</f>
        <v>繊維板（ファイバーボード）、パーティクルボードおよび合板を用いた木工製品（スピーカー、ラック等）</v>
      </c>
      <c r="R120" s="644"/>
      <c r="S120" s="644"/>
      <c r="T120" s="644"/>
      <c r="U120" s="644"/>
      <c r="V120" s="644"/>
      <c r="W120" s="645"/>
      <c r="X120" s="605" t="str">
        <f>IF(C12="English","0.1
（Chamber method: 
EN717-1:200)",IF(C12="中文","0.1
（测量值
密闭小室法）","0.1
（測定値
チャンバー法）"))</f>
        <v>0.1
（測定値
チャンバー法）</v>
      </c>
      <c r="Y120" s="606"/>
      <c r="Z120" s="606"/>
      <c r="AA120" s="606"/>
      <c r="AB120" s="607"/>
      <c r="AC120" s="506"/>
      <c r="AD120" s="507"/>
      <c r="AE120" s="508"/>
    </row>
    <row r="121" spans="3:31" ht="15" customHeight="1">
      <c r="C121" s="152"/>
      <c r="D121" s="167"/>
      <c r="E121" s="167"/>
      <c r="F121" s="167"/>
      <c r="G121" s="167"/>
      <c r="H121" s="167"/>
      <c r="I121" s="167"/>
      <c r="J121" s="167"/>
      <c r="K121" s="167"/>
      <c r="L121" s="167"/>
      <c r="M121" s="167"/>
      <c r="N121" s="167"/>
      <c r="O121" s="167"/>
      <c r="P121" s="167"/>
      <c r="Q121" s="165"/>
      <c r="R121" s="165"/>
      <c r="S121" s="165"/>
      <c r="T121" s="165"/>
      <c r="U121" s="165"/>
      <c r="V121" s="165"/>
      <c r="W121" s="165"/>
      <c r="X121" s="47"/>
      <c r="Y121" s="47"/>
      <c r="Z121" s="47"/>
      <c r="AA121" s="47"/>
      <c r="AB121" s="47"/>
      <c r="AC121" s="164"/>
      <c r="AD121" s="164"/>
      <c r="AE121" s="164"/>
    </row>
    <row r="122" spans="3:31" ht="80.099999999999994" customHeight="1">
      <c r="C122" s="159">
        <v>22</v>
      </c>
      <c r="D122" s="638" t="str">
        <f>IF(C12="English","Nickel and its compounds",IF(C12="中文","镍及其化合物","ニッケルおよびその化合物"))</f>
        <v>ニッケルおよびその化合物</v>
      </c>
      <c r="E122" s="644"/>
      <c r="F122" s="644"/>
      <c r="G122" s="644"/>
      <c r="H122" s="644"/>
      <c r="I122" s="644"/>
      <c r="J122" s="644"/>
      <c r="K122" s="644"/>
      <c r="L122" s="644"/>
      <c r="M122" s="644"/>
      <c r="N122" s="644"/>
      <c r="O122" s="644"/>
      <c r="P122" s="645"/>
      <c r="Q122" s="523" t="str">
        <f>IF(C12="English","Parts that are in contact with human skin for a prolonged time（e.g. earphones, headphones, etc.）",IF(C12="中文","长期接触皮肤的用途（耳机、耳麦等）","長期にわたり皮膚と接触する用途(イヤホン、ヘッドホン等)"))</f>
        <v>長期にわたり皮膚と接触する用途(イヤホン、ヘッドホン等)</v>
      </c>
      <c r="R122" s="524"/>
      <c r="S122" s="524"/>
      <c r="T122" s="524"/>
      <c r="U122" s="524"/>
      <c r="V122" s="524"/>
      <c r="W122" s="525"/>
      <c r="X122" s="523" t="str">
        <f>IF(C12="English","0.5μg/cm2/week
Test Standard
EN1811：2011
+A1：2015",IF(C12="中文","0.5μg/cm2/week
试验标准
EN1811：2011
+A1：2015","0.5μg/cm2/week
試験規格
EN1811：2011
+A1：2015"))</f>
        <v>0.5μg/cm2/week
試験規格
EN1811：2011
+A1：2015</v>
      </c>
      <c r="Y122" s="524"/>
      <c r="Z122" s="524"/>
      <c r="AA122" s="524"/>
      <c r="AB122" s="525"/>
      <c r="AC122" s="506"/>
      <c r="AD122" s="507"/>
      <c r="AE122" s="508"/>
    </row>
    <row r="123" spans="3:31" ht="70.05" customHeight="1">
      <c r="C123" s="159">
        <v>23</v>
      </c>
      <c r="D123" s="638" t="str">
        <f>IF(C12="English","Arsenic and its compounds
(including Diarsenic trioxide, Diarsenic pentoxide）",IF(C12="中文","砷及其化合物
（包括三氧化二砷、五氧化二砷）","ヒ素およびその化合物
（三酸化二ヒ素、五酸化二ヒ素を含む）"))</f>
        <v>ヒ素およびその化合物
（三酸化二ヒ素、五酸化二ヒ素を含む）</v>
      </c>
      <c r="E123" s="644"/>
      <c r="F123" s="644"/>
      <c r="G123" s="644"/>
      <c r="H123" s="644"/>
      <c r="I123" s="644"/>
      <c r="J123" s="644"/>
      <c r="K123" s="644"/>
      <c r="L123" s="644"/>
      <c r="M123" s="644"/>
      <c r="N123" s="644"/>
      <c r="O123" s="644"/>
      <c r="P123" s="645"/>
      <c r="Q123" s="523" t="str">
        <f>IF(C12="English","Only use of Wood preservatives, Antifoam agents or fining agents for the glasses",IF(C12="中文","仅适用于木材防腐剤、玻璃消泡剂、澄清剂等用途","木材の防腐剤、ガラスの消泡剤、清澄剤としての用途のみ適用"))</f>
        <v>木材の防腐剤、ガラスの消泡剤、清澄剤としての用途のみ適用</v>
      </c>
      <c r="R123" s="524"/>
      <c r="S123" s="524"/>
      <c r="T123" s="524"/>
      <c r="U123" s="524"/>
      <c r="V123" s="524"/>
      <c r="W123" s="525"/>
      <c r="X123" s="630">
        <v>1000</v>
      </c>
      <c r="Y123" s="631"/>
      <c r="Z123" s="631"/>
      <c r="AA123" s="631"/>
      <c r="AB123" s="632"/>
      <c r="AC123" s="506"/>
      <c r="AD123" s="507"/>
      <c r="AE123" s="508"/>
    </row>
    <row r="124" spans="3:31" ht="30" customHeight="1">
      <c r="C124" s="159">
        <v>24</v>
      </c>
      <c r="D124" s="523" t="str">
        <f>IF(C12="English","Radioactive substances",IF(C12="中文","放射性物质","放射性物質"))</f>
        <v>放射性物質</v>
      </c>
      <c r="E124" s="524"/>
      <c r="F124" s="524"/>
      <c r="G124" s="524"/>
      <c r="H124" s="524"/>
      <c r="I124" s="524"/>
      <c r="J124" s="524"/>
      <c r="K124" s="524"/>
      <c r="L124" s="524"/>
      <c r="M124" s="524"/>
      <c r="N124" s="524"/>
      <c r="O124" s="524"/>
      <c r="P124" s="525"/>
      <c r="Q124" s="667" t="str">
        <f>IF(C12="English","All uses",IF(C12="中文","所有用途","全ての用途"))</f>
        <v>全ての用途</v>
      </c>
      <c r="R124" s="668"/>
      <c r="S124" s="668"/>
      <c r="T124" s="668"/>
      <c r="U124" s="668"/>
      <c r="V124" s="668"/>
      <c r="W124" s="669"/>
      <c r="X124" s="605" t="str">
        <f>IF(C12="English","Intentionally 
added",IF(C12="中文","禁止有意添加","意図的添加禁止"))</f>
        <v>意図的添加禁止</v>
      </c>
      <c r="Y124" s="606"/>
      <c r="Z124" s="606"/>
      <c r="AA124" s="606"/>
      <c r="AB124" s="607"/>
      <c r="AC124" s="506"/>
      <c r="AD124" s="507"/>
      <c r="AE124" s="508"/>
    </row>
    <row r="125" spans="3:31" ht="80.099999999999994" customHeight="1">
      <c r="C125" s="159">
        <v>25</v>
      </c>
      <c r="D125" s="679" t="str">
        <f>IF(C12="English","Perfluorooctane sulfonates (PFOS) and its salt",IF(C12="中文","全氟辛烷磺酸（PFOS）及其盐","パーフルオロオクタンスルホン酸(PFOS)およびその塩"))</f>
        <v>パーフルオロオクタンスルホン酸(PFOS)およびその塩</v>
      </c>
      <c r="E125" s="680"/>
      <c r="F125" s="680"/>
      <c r="G125" s="680"/>
      <c r="H125" s="680"/>
      <c r="I125" s="680"/>
      <c r="J125" s="680"/>
      <c r="K125" s="680"/>
      <c r="L125" s="680"/>
      <c r="M125" s="680"/>
      <c r="N125" s="680"/>
      <c r="O125" s="680"/>
      <c r="P125" s="681"/>
      <c r="Q125" s="679" t="str">
        <f>IF(C12="English","All uses",IF(C12="中文","所有用途","全ての用途"))</f>
        <v>全ての用途</v>
      </c>
      <c r="R125" s="680"/>
      <c r="S125" s="680"/>
      <c r="T125" s="680"/>
      <c r="U125" s="680"/>
      <c r="V125" s="680"/>
      <c r="W125" s="681"/>
      <c r="X125" s="605" t="str">
        <f>IF(C12="English","Intentionally added or Article: 1,000
substances,
Mixtures: 10",IF(C12="中文","禁止有意添加
且　成形品：1,000
物質,混合物：10","意図的添加禁止
且つ
成形品：1,000
物質、調剤：10"))</f>
        <v>意図的添加禁止
且つ
成形品：1,000
物質、調剤：10</v>
      </c>
      <c r="Y125" s="606"/>
      <c r="Z125" s="606"/>
      <c r="AA125" s="606"/>
      <c r="AB125" s="607"/>
      <c r="AC125" s="506"/>
      <c r="AD125" s="507"/>
      <c r="AE125" s="508"/>
    </row>
    <row r="126" spans="3:31" ht="135" customHeight="1">
      <c r="C126" s="158">
        <v>26</v>
      </c>
      <c r="D126" s="679" t="str">
        <f>IF(C12="English","Perfluorooctanic acids (PFOA) and its salts and PFOA-related substances(*2）",IF(C12="中文","全氟辛酸（PFOA）及其盐类和PFOA相关物质 ( *2)","パーフルオロオクタン酸（PFOA)とその塩および PFOA 関連物質（*2）"))</f>
        <v>パーフルオロオクタン酸（PFOA)とその塩および PFOA 関連物質（*2）</v>
      </c>
      <c r="E126" s="680"/>
      <c r="F126" s="680"/>
      <c r="G126" s="680"/>
      <c r="H126" s="680"/>
      <c r="I126" s="680"/>
      <c r="J126" s="680"/>
      <c r="K126" s="680"/>
      <c r="L126" s="680"/>
      <c r="M126" s="680"/>
      <c r="N126" s="680"/>
      <c r="O126" s="680"/>
      <c r="P126" s="681"/>
      <c r="Q126" s="679" t="str">
        <f>IF(C12="English","All uses for not medical devices",IF(C12="中文","医疗器械用途之外的所有用途","医療機器用途を除く、全ての用途"))</f>
        <v>医療機器用途を除く、全ての用途</v>
      </c>
      <c r="R126" s="680"/>
      <c r="S126" s="680"/>
      <c r="T126" s="680"/>
      <c r="U126" s="680"/>
      <c r="V126" s="680"/>
      <c r="W126" s="681"/>
      <c r="X126" s="682" t="str">
        <f>IF(C12="English","Intentionally added or Perfluorooctanoic acid (PFOA) and
 its salts in total : 25ppb
PFOA-related substances : 
In total
 1000ppb (1ppm)",IF(C12="中文","禁止有意添加
且
PFOA及其盐类合计
：25ppb
PFOA相关物质合計：1000ppb
　　（1ppm）
","意図的添加禁止
且つ 
パーフルオロオクタン酸 (PFOA)と
その塩の合計：25ppb
PFOA関連物質
合計：1,000ppb
(1ppm)"))</f>
        <v>意図的添加禁止
且つ 
パーフルオロオクタン酸 (PFOA)と
その塩の合計：25ppb
PFOA関連物質
合計：1,000ppb
(1ppm)</v>
      </c>
      <c r="Y126" s="683"/>
      <c r="Z126" s="683"/>
      <c r="AA126" s="683"/>
      <c r="AB126" s="684"/>
      <c r="AC126" s="506"/>
      <c r="AD126" s="507"/>
      <c r="AE126" s="508"/>
    </row>
    <row r="127" spans="3:31" ht="45" customHeight="1">
      <c r="C127" s="159">
        <v>27</v>
      </c>
      <c r="D127" s="679" t="str">
        <f>IF(C12="English","Long-Chain Perfluoroalkyl Carboxylate (LCPFACs)",IF(C12="中文","长链全氟烷基羧酸盐(LCPFACs)","長鎖ペルフルオロアルキルカルボン酸化合物 (LCPFACs)"))</f>
        <v>長鎖ペルフルオロアルキルカルボン酸化合物 (LCPFACs)</v>
      </c>
      <c r="E127" s="680"/>
      <c r="F127" s="680"/>
      <c r="G127" s="680"/>
      <c r="H127" s="680"/>
      <c r="I127" s="680"/>
      <c r="J127" s="680"/>
      <c r="K127" s="680"/>
      <c r="L127" s="680"/>
      <c r="M127" s="680"/>
      <c r="N127" s="680"/>
      <c r="O127" s="680"/>
      <c r="P127" s="681"/>
      <c r="Q127" s="679" t="str">
        <f>IF(C12="English","Parts with surface coating, and material used to coat articles",IF(C12="中文","有表面涂层的零件或用于成形品涂层的材料","表面コーティングを有する部品 又は成形品をコーティングする為の材料"))</f>
        <v>表面コーティングを有する部品 又は成形品をコーティングする為の材料</v>
      </c>
      <c r="R127" s="680"/>
      <c r="S127" s="680"/>
      <c r="T127" s="680"/>
      <c r="U127" s="680"/>
      <c r="V127" s="680"/>
      <c r="W127" s="681"/>
      <c r="X127" s="605" t="str">
        <f>IF(C12="English","Intentionally 
added",IF(C12="中文","禁止有意添加","意図的添加禁止"))</f>
        <v>意図的添加禁止</v>
      </c>
      <c r="Y127" s="606"/>
      <c r="Z127" s="606"/>
      <c r="AA127" s="606"/>
      <c r="AB127" s="607"/>
      <c r="AC127" s="506"/>
      <c r="AD127" s="507"/>
      <c r="AE127" s="508"/>
    </row>
    <row r="128" spans="3:31" ht="60" customHeight="1">
      <c r="C128" s="159">
        <v>28</v>
      </c>
      <c r="D128" s="679" t="str">
        <f>IF(C12="English","Specific benzotriazole
2-(2H-benzotriazol-2-yl)-4,6-di-tert-butylphenol
（CASRN3846-71-7）",IF(C12="中文","特定苯并三唑
2-(2H-1,2,3-苯并三唑-2-基)- 4,6-二叔丁基苯酚
（UV-320）(CAS RN 3846-71-7)","特定ベンゾトリアゾール
2-(2H-1,2,3-ベンゾトリアゾール-2-イル)-4,6-ジ-tert-ブチルフェノール（UV-320）
(CAS RN 3846-71-7)"))</f>
        <v>特定ベンゾトリアゾール
2-(2H-1,2,3-ベンゾトリアゾール-2-イル)-4,6-ジ-tert-ブチルフェノール（UV-320）
(CAS RN 3846-71-7)</v>
      </c>
      <c r="E128" s="680"/>
      <c r="F128" s="680"/>
      <c r="G128" s="680"/>
      <c r="H128" s="680"/>
      <c r="I128" s="680"/>
      <c r="J128" s="680"/>
      <c r="K128" s="680"/>
      <c r="L128" s="680"/>
      <c r="M128" s="680"/>
      <c r="N128" s="680"/>
      <c r="O128" s="680"/>
      <c r="P128" s="681"/>
      <c r="Q128" s="679" t="str">
        <f>IF(C12="English","All uses",IF(C12="中文","所有用途","全ての用途"))</f>
        <v>全ての用途</v>
      </c>
      <c r="R128" s="680"/>
      <c r="S128" s="680"/>
      <c r="T128" s="680"/>
      <c r="U128" s="680"/>
      <c r="V128" s="680"/>
      <c r="W128" s="681"/>
      <c r="X128" s="605" t="str">
        <f>IF(C12="English","Intentionally 
added",IF(C12="中文","禁止有意添加","意図的添加禁止"))</f>
        <v>意図的添加禁止</v>
      </c>
      <c r="Y128" s="606"/>
      <c r="Z128" s="606"/>
      <c r="AA128" s="606"/>
      <c r="AB128" s="607"/>
      <c r="AC128" s="506"/>
      <c r="AD128" s="507"/>
      <c r="AE128" s="508"/>
    </row>
    <row r="129" spans="3:31" ht="40.049999999999997" customHeight="1">
      <c r="C129" s="159">
        <v>29</v>
      </c>
      <c r="D129" s="638" t="str">
        <f>IF(C12="English","Cobalt chloride
(CASRN7646-79-9)",IF(C12="中文","氯化钴
(CAS RN 7646-79-9)","塩化コバルト
(CAS RN 7646-79-9)"))</f>
        <v>塩化コバルト
(CAS RN 7646-79-9)</v>
      </c>
      <c r="E129" s="644"/>
      <c r="F129" s="644"/>
      <c r="G129" s="644"/>
      <c r="H129" s="644"/>
      <c r="I129" s="644"/>
      <c r="J129" s="644"/>
      <c r="K129" s="644"/>
      <c r="L129" s="644"/>
      <c r="M129" s="644"/>
      <c r="N129" s="644"/>
      <c r="O129" s="644"/>
      <c r="P129" s="645"/>
      <c r="Q129" s="667" t="str">
        <f>IF(C12="English","All uses",IF(C12="中文","所有用途","全ての用途"))</f>
        <v>全ての用途</v>
      </c>
      <c r="R129" s="668"/>
      <c r="S129" s="668"/>
      <c r="T129" s="668"/>
      <c r="U129" s="668"/>
      <c r="V129" s="668"/>
      <c r="W129" s="669"/>
      <c r="X129" s="605" t="str">
        <f>IF(C12="English","Intentionally added or 1,000",IF(C12="中文","禁止有意添加
且　1,000","意図的添加禁止
且つ 1,000"))</f>
        <v>意図的添加禁止
且つ 1,000</v>
      </c>
      <c r="Y129" s="606"/>
      <c r="Z129" s="606"/>
      <c r="AA129" s="606"/>
      <c r="AB129" s="607"/>
      <c r="AC129" s="506"/>
      <c r="AD129" s="507"/>
      <c r="AE129" s="508"/>
    </row>
    <row r="130" spans="3:31" ht="40.049999999999997" customHeight="1">
      <c r="C130" s="159">
        <v>30</v>
      </c>
      <c r="D130" s="638" t="str">
        <f>IF(C12="English","Beryllium oxide 
(CASRN1304-56-9)",IF(C12="中文","氧化铍
(CAS RN 1304-56-9)","酸化ベリリウム
(CAS RN 1304-56-9)"))</f>
        <v>酸化ベリリウム
(CAS RN 1304-56-9)</v>
      </c>
      <c r="E130" s="644"/>
      <c r="F130" s="644"/>
      <c r="G130" s="644"/>
      <c r="H130" s="644"/>
      <c r="I130" s="644"/>
      <c r="J130" s="644"/>
      <c r="K130" s="644"/>
      <c r="L130" s="644"/>
      <c r="M130" s="644"/>
      <c r="N130" s="644"/>
      <c r="O130" s="644"/>
      <c r="P130" s="645"/>
      <c r="Q130" s="667" t="str">
        <f>IF(C12="English","All uses",IF(C12="中文","所有用途","全ての用途"))</f>
        <v>全ての用途</v>
      </c>
      <c r="R130" s="668"/>
      <c r="S130" s="668"/>
      <c r="T130" s="668"/>
      <c r="U130" s="668"/>
      <c r="V130" s="668"/>
      <c r="W130" s="669"/>
      <c r="X130" s="605" t="str">
        <f>IF(C12="English","Intentionally added or 1,000",IF(C12="中文","禁止有意添加
且　1,000","意図的添加禁止
且つ 1,000"))</f>
        <v>意図的添加禁止
且つ 1,000</v>
      </c>
      <c r="Y130" s="606"/>
      <c r="Z130" s="606"/>
      <c r="AA130" s="606"/>
      <c r="AB130" s="607"/>
      <c r="AC130" s="506"/>
      <c r="AD130" s="507"/>
      <c r="AE130" s="508"/>
    </row>
    <row r="131" spans="3:31" ht="30" customHeight="1">
      <c r="C131" s="159">
        <v>31</v>
      </c>
      <c r="D131" s="679" t="str">
        <f>IF(C12="English","Dimetylfumarate (DMF)
(CASRN624-49-7)",IF(C12="中文","富马酸二甲酯(DMF)
(CAS RN 624-49-7)","フマル酸ジメチル(DMF)
(CAS RN 624-49-7)"))</f>
        <v>フマル酸ジメチル(DMF)
(CAS RN 624-49-7)</v>
      </c>
      <c r="E131" s="680"/>
      <c r="F131" s="680"/>
      <c r="G131" s="680"/>
      <c r="H131" s="680"/>
      <c r="I131" s="680"/>
      <c r="J131" s="680"/>
      <c r="K131" s="680"/>
      <c r="L131" s="680"/>
      <c r="M131" s="680"/>
      <c r="N131" s="680"/>
      <c r="O131" s="680"/>
      <c r="P131" s="681"/>
      <c r="Q131" s="679" t="str">
        <f>IF(C12="English","All uses",IF(C12="中文","所有用途","全ての用途"))</f>
        <v>全ての用途</v>
      </c>
      <c r="R131" s="680"/>
      <c r="S131" s="680"/>
      <c r="T131" s="680"/>
      <c r="U131" s="680"/>
      <c r="V131" s="680"/>
      <c r="W131" s="681"/>
      <c r="X131" s="605">
        <v>0.1</v>
      </c>
      <c r="Y131" s="606"/>
      <c r="Z131" s="606"/>
      <c r="AA131" s="606"/>
      <c r="AB131" s="607"/>
      <c r="AC131" s="506"/>
      <c r="AD131" s="507"/>
      <c r="AE131" s="508"/>
    </row>
    <row r="132" spans="3:31" ht="30" customHeight="1">
      <c r="C132" s="159">
        <v>32</v>
      </c>
      <c r="D132" s="679" t="str">
        <f>IF(C12="English","Tris(2-chloroethyl) phosphate（TCEP）(CAS RN 115-96-8)",IF(C12="中文","磷酸三（2-氯乙基）酯（TCEP）(CAS RN 115-96-8)","リン酸トリス（2-クロロエチル）（TCEP）(CAS RN 115-96-8)"))</f>
        <v>リン酸トリス（2-クロロエチル）（TCEP）(CAS RN 115-96-8)</v>
      </c>
      <c r="E132" s="680"/>
      <c r="F132" s="680"/>
      <c r="G132" s="680"/>
      <c r="H132" s="680"/>
      <c r="I132" s="680"/>
      <c r="J132" s="680"/>
      <c r="K132" s="680"/>
      <c r="L132" s="680"/>
      <c r="M132" s="680"/>
      <c r="N132" s="680"/>
      <c r="O132" s="680"/>
      <c r="P132" s="681"/>
      <c r="Q132" s="679" t="str">
        <f>IF(C12="English","All uses",IF(C12="中文","所有用途","全ての用途"))</f>
        <v>全ての用途</v>
      </c>
      <c r="R132" s="680"/>
      <c r="S132" s="680"/>
      <c r="T132" s="680"/>
      <c r="U132" s="680"/>
      <c r="V132" s="680"/>
      <c r="W132" s="681"/>
      <c r="X132" s="630">
        <v>1000</v>
      </c>
      <c r="Y132" s="631"/>
      <c r="Z132" s="631"/>
      <c r="AA132" s="631"/>
      <c r="AB132" s="632"/>
      <c r="AC132" s="506"/>
      <c r="AD132" s="507"/>
      <c r="AE132" s="508"/>
    </row>
    <row r="133" spans="3:31" ht="30" customHeight="1">
      <c r="C133" s="159">
        <v>33</v>
      </c>
      <c r="D133" s="679" t="str">
        <f>IF(C12="English","Tris(1-chloro-2- propyl) phosphate（TCPP）(CAS RN 13674-84-5)",IF(C12="中文","磷酸三（1-氯-2-丙基）酯（TCPP）(CAS RN 13674-84-5)","リン酸トリス（1-クロロ-2-プロピル）（TCPP）(CAS RN 13674-84-5)"))</f>
        <v>リン酸トリス（1-クロロ-2-プロピル）（TCPP）(CAS RN 13674-84-5)</v>
      </c>
      <c r="E133" s="680"/>
      <c r="F133" s="680"/>
      <c r="G133" s="680"/>
      <c r="H133" s="680"/>
      <c r="I133" s="680"/>
      <c r="J133" s="680"/>
      <c r="K133" s="680"/>
      <c r="L133" s="680"/>
      <c r="M133" s="680"/>
      <c r="N133" s="680"/>
      <c r="O133" s="680"/>
      <c r="P133" s="681"/>
      <c r="Q133" s="679" t="str">
        <f>IF(C12="English","Use of flame retardants for resin or textile",IF(C12="中文","用于树脂、纤维的阻燃剂用途","樹脂、繊維への難燃剤用途"))</f>
        <v>樹脂、繊維への難燃剤用途</v>
      </c>
      <c r="R133" s="680"/>
      <c r="S133" s="680"/>
      <c r="T133" s="680"/>
      <c r="U133" s="680"/>
      <c r="V133" s="680"/>
      <c r="W133" s="681"/>
      <c r="X133" s="630">
        <v>1000</v>
      </c>
      <c r="Y133" s="631"/>
      <c r="Z133" s="631"/>
      <c r="AA133" s="631"/>
      <c r="AB133" s="632"/>
      <c r="AC133" s="506"/>
      <c r="AD133" s="507"/>
      <c r="AE133" s="508"/>
    </row>
    <row r="134" spans="3:31" ht="30" customHeight="1">
      <c r="C134" s="159">
        <v>34</v>
      </c>
      <c r="D134" s="638" t="str">
        <f>IF(C12="English","Tris(1,3-dichloro-2-propyl) phosphate（TDCPP）(CAS RN 13674-87-8)",IF(C12="中文","磷酸三（1,3-二氯-2-丙基）酯（TDCPP）(CAS RN 13674-87-8)","リン酸トリス（1,3-ジクロロ-2-プロピル）（TDCPP）(CAS RN 13674-87-8)"))</f>
        <v>リン酸トリス（1,3-ジクロロ-2-プロピル）（TDCPP）(CAS RN 13674-87-8)</v>
      </c>
      <c r="E134" s="644"/>
      <c r="F134" s="644"/>
      <c r="G134" s="644"/>
      <c r="H134" s="644"/>
      <c r="I134" s="644"/>
      <c r="J134" s="644"/>
      <c r="K134" s="644"/>
      <c r="L134" s="644"/>
      <c r="M134" s="644"/>
      <c r="N134" s="644"/>
      <c r="O134" s="644"/>
      <c r="P134" s="645"/>
      <c r="Q134" s="679" t="str">
        <f>IF(C12="English","Use of flame retardants for resin or textile",IF(C12="中文","用于树脂、纤维的阻燃剂用途","樹脂、繊維への難燃剤用途"))</f>
        <v>樹脂、繊維への難燃剤用途</v>
      </c>
      <c r="R134" s="680"/>
      <c r="S134" s="680"/>
      <c r="T134" s="680"/>
      <c r="U134" s="680"/>
      <c r="V134" s="680"/>
      <c r="W134" s="681"/>
      <c r="X134" s="630">
        <v>1000</v>
      </c>
      <c r="Y134" s="631"/>
      <c r="Z134" s="631"/>
      <c r="AA134" s="631"/>
      <c r="AB134" s="632"/>
      <c r="AC134" s="506"/>
      <c r="AD134" s="507"/>
      <c r="AE134" s="508"/>
    </row>
    <row r="135" spans="3:31" ht="40.049999999999997" customHeight="1">
      <c r="C135" s="158">
        <v>35</v>
      </c>
      <c r="D135" s="679" t="str">
        <f>IF(C12="English","Hexabromocyclododecane (HBCDD) and all major diastereoisomers identified",IF(C12="中文","六溴环十二烷（HBCDD）以及所有主要非对映体","ヘキサブロモシクロドデカン（HBCDD）および全主要ジアステレオマー"))</f>
        <v>ヘキサブロモシクロドデカン（HBCDD）および全主要ジアステレオマー</v>
      </c>
      <c r="E135" s="680"/>
      <c r="F135" s="680"/>
      <c r="G135" s="680"/>
      <c r="H135" s="680"/>
      <c r="I135" s="680"/>
      <c r="J135" s="680"/>
      <c r="K135" s="680"/>
      <c r="L135" s="680"/>
      <c r="M135" s="680"/>
      <c r="N135" s="680"/>
      <c r="O135" s="680"/>
      <c r="P135" s="681"/>
      <c r="Q135" s="679" t="str">
        <f>IF(C12="English","All uses",IF(C12="中文","所有用途","全ての用途"))</f>
        <v>全ての用途</v>
      </c>
      <c r="R135" s="680"/>
      <c r="S135" s="680"/>
      <c r="T135" s="680"/>
      <c r="U135" s="680"/>
      <c r="V135" s="680"/>
      <c r="W135" s="681"/>
      <c r="X135" s="605" t="str">
        <f>IF(C12="English","Intentionally added or 100",IF(C12="中文","禁止有意添加
且　100","意図的添加禁止
且つ 100"))</f>
        <v>意図的添加禁止
且つ 100</v>
      </c>
      <c r="Y135" s="606"/>
      <c r="Z135" s="606"/>
      <c r="AA135" s="606"/>
      <c r="AB135" s="607"/>
      <c r="AC135" s="506"/>
      <c r="AD135" s="507"/>
      <c r="AE135" s="508"/>
    </row>
    <row r="136" spans="3:31" ht="15" customHeight="1">
      <c r="C136" s="152"/>
      <c r="D136" s="165"/>
      <c r="E136" s="165"/>
      <c r="F136" s="165"/>
      <c r="G136" s="165"/>
      <c r="H136" s="165"/>
      <c r="I136" s="165"/>
      <c r="J136" s="165"/>
      <c r="K136" s="165"/>
      <c r="L136" s="165"/>
      <c r="M136" s="165"/>
      <c r="N136" s="165"/>
      <c r="O136" s="165"/>
      <c r="P136" s="165"/>
      <c r="Q136" s="163"/>
      <c r="R136" s="163"/>
      <c r="S136" s="163"/>
      <c r="T136" s="163"/>
      <c r="U136" s="163"/>
      <c r="V136" s="163"/>
      <c r="W136" s="163"/>
      <c r="X136" s="162"/>
      <c r="Y136" s="162"/>
      <c r="Z136" s="162"/>
      <c r="AA136" s="162"/>
      <c r="AB136" s="162"/>
      <c r="AC136" s="164"/>
      <c r="AD136" s="164"/>
      <c r="AE136" s="164"/>
    </row>
    <row r="137" spans="3:31" ht="15" customHeight="1">
      <c r="C137" s="152"/>
      <c r="D137" s="165"/>
      <c r="E137" s="165"/>
      <c r="F137" s="165"/>
      <c r="G137" s="165"/>
      <c r="H137" s="165"/>
      <c r="I137" s="165"/>
      <c r="J137" s="165"/>
      <c r="K137" s="165"/>
      <c r="L137" s="165"/>
      <c r="M137" s="165"/>
      <c r="N137" s="165"/>
      <c r="O137" s="165"/>
      <c r="P137" s="165"/>
      <c r="Q137" s="163"/>
      <c r="R137" s="163"/>
      <c r="S137" s="163"/>
      <c r="T137" s="163"/>
      <c r="U137" s="163"/>
      <c r="V137" s="163"/>
      <c r="W137" s="163"/>
      <c r="X137" s="162"/>
      <c r="Y137" s="162"/>
      <c r="Z137" s="162"/>
      <c r="AA137" s="162"/>
      <c r="AB137" s="162"/>
      <c r="AC137" s="164"/>
      <c r="AD137" s="164"/>
      <c r="AE137" s="164"/>
    </row>
    <row r="138" spans="3:31" ht="15" customHeight="1">
      <c r="C138" s="152"/>
      <c r="D138" s="165"/>
      <c r="E138" s="165"/>
      <c r="F138" s="165"/>
      <c r="G138" s="165"/>
      <c r="H138" s="165"/>
      <c r="I138" s="165"/>
      <c r="J138" s="165"/>
      <c r="K138" s="165"/>
      <c r="L138" s="165"/>
      <c r="M138" s="165"/>
      <c r="N138" s="165"/>
      <c r="O138" s="165"/>
      <c r="P138" s="165"/>
      <c r="Q138" s="163"/>
      <c r="R138" s="163"/>
      <c r="S138" s="163"/>
      <c r="T138" s="163"/>
      <c r="U138" s="163"/>
      <c r="V138" s="163"/>
      <c r="W138" s="163"/>
      <c r="X138" s="162"/>
      <c r="Y138" s="162"/>
      <c r="Z138" s="162"/>
      <c r="AA138" s="162"/>
      <c r="AB138" s="162"/>
      <c r="AC138" s="164"/>
      <c r="AD138" s="164"/>
      <c r="AE138" s="164"/>
    </row>
    <row r="139" spans="3:31" ht="15" customHeight="1">
      <c r="C139" s="152"/>
      <c r="D139" s="165"/>
      <c r="E139" s="165"/>
      <c r="F139" s="165"/>
      <c r="G139" s="165"/>
      <c r="H139" s="165"/>
      <c r="I139" s="165"/>
      <c r="J139" s="165"/>
      <c r="K139" s="165"/>
      <c r="L139" s="165"/>
      <c r="M139" s="165"/>
      <c r="N139" s="165"/>
      <c r="O139" s="165"/>
      <c r="P139" s="165"/>
      <c r="Q139" s="163"/>
      <c r="R139" s="163"/>
      <c r="S139" s="163"/>
      <c r="T139" s="163"/>
      <c r="U139" s="163"/>
      <c r="V139" s="163"/>
      <c r="W139" s="163"/>
      <c r="X139" s="162"/>
      <c r="Y139" s="162"/>
      <c r="Z139" s="162"/>
      <c r="AA139" s="162"/>
      <c r="AB139" s="162"/>
      <c r="AC139" s="164"/>
      <c r="AD139" s="164"/>
      <c r="AE139" s="164"/>
    </row>
    <row r="140" spans="3:31" ht="15" customHeight="1">
      <c r="C140" s="152"/>
      <c r="D140" s="165"/>
      <c r="E140" s="165"/>
      <c r="F140" s="165"/>
      <c r="G140" s="165"/>
      <c r="H140" s="165"/>
      <c r="I140" s="165"/>
      <c r="J140" s="165"/>
      <c r="K140" s="165"/>
      <c r="L140" s="165"/>
      <c r="M140" s="165"/>
      <c r="N140" s="165"/>
      <c r="O140" s="165"/>
      <c r="P140" s="165"/>
      <c r="Q140" s="163"/>
      <c r="R140" s="163"/>
      <c r="S140" s="163"/>
      <c r="T140" s="163"/>
      <c r="U140" s="163"/>
      <c r="V140" s="163"/>
      <c r="W140" s="163"/>
      <c r="X140" s="162"/>
      <c r="Y140" s="162"/>
      <c r="Z140" s="162"/>
      <c r="AA140" s="162"/>
      <c r="AB140" s="162"/>
      <c r="AC140" s="164"/>
      <c r="AD140" s="164"/>
      <c r="AE140" s="164"/>
    </row>
    <row r="141" spans="3:31" ht="15" customHeight="1">
      <c r="C141" s="152"/>
      <c r="D141" s="165"/>
      <c r="E141" s="165"/>
      <c r="F141" s="165"/>
      <c r="G141" s="165"/>
      <c r="H141" s="165"/>
      <c r="I141" s="165"/>
      <c r="J141" s="165"/>
      <c r="K141" s="165"/>
      <c r="L141" s="165"/>
      <c r="M141" s="165"/>
      <c r="N141" s="165"/>
      <c r="O141" s="165"/>
      <c r="P141" s="165"/>
      <c r="Q141" s="163"/>
      <c r="R141" s="163"/>
      <c r="S141" s="163"/>
      <c r="T141" s="163"/>
      <c r="U141" s="163"/>
      <c r="V141" s="163"/>
      <c r="W141" s="163"/>
      <c r="X141" s="162"/>
      <c r="Y141" s="162"/>
      <c r="Z141" s="162"/>
      <c r="AA141" s="162"/>
      <c r="AB141" s="162"/>
      <c r="AC141" s="164"/>
      <c r="AD141" s="164"/>
      <c r="AE141" s="164"/>
    </row>
    <row r="142" spans="3:31" ht="15" customHeight="1">
      <c r="C142" s="152"/>
      <c r="D142" s="165"/>
      <c r="E142" s="165"/>
      <c r="F142" s="165"/>
      <c r="G142" s="165"/>
      <c r="H142" s="165"/>
      <c r="I142" s="165"/>
      <c r="J142" s="165"/>
      <c r="K142" s="165"/>
      <c r="L142" s="165"/>
      <c r="M142" s="165"/>
      <c r="N142" s="165"/>
      <c r="O142" s="165"/>
      <c r="P142" s="165"/>
      <c r="Q142" s="163"/>
      <c r="R142" s="163"/>
      <c r="S142" s="163"/>
      <c r="T142" s="163"/>
      <c r="U142" s="163"/>
      <c r="V142" s="163"/>
      <c r="W142" s="163"/>
      <c r="X142" s="162"/>
      <c r="Y142" s="162"/>
      <c r="Z142" s="162"/>
      <c r="AA142" s="162"/>
      <c r="AB142" s="162"/>
      <c r="AC142" s="164"/>
      <c r="AD142" s="164"/>
      <c r="AE142" s="164"/>
    </row>
    <row r="143" spans="3:31" ht="15" customHeight="1">
      <c r="C143" s="152"/>
      <c r="D143" s="165"/>
      <c r="E143" s="165"/>
      <c r="F143" s="165"/>
      <c r="G143" s="165"/>
      <c r="H143" s="165"/>
      <c r="I143" s="165"/>
      <c r="J143" s="165"/>
      <c r="K143" s="165"/>
      <c r="L143" s="165"/>
      <c r="M143" s="165"/>
      <c r="N143" s="165"/>
      <c r="O143" s="165"/>
      <c r="P143" s="165"/>
      <c r="Q143" s="163"/>
      <c r="R143" s="163"/>
      <c r="S143" s="163"/>
      <c r="T143" s="163"/>
      <c r="U143" s="163"/>
      <c r="V143" s="163"/>
      <c r="W143" s="163"/>
      <c r="X143" s="162"/>
      <c r="Y143" s="162"/>
      <c r="Z143" s="162"/>
      <c r="AA143" s="162"/>
      <c r="AB143" s="162"/>
      <c r="AC143" s="164"/>
      <c r="AD143" s="164"/>
      <c r="AE143" s="164"/>
    </row>
    <row r="144" spans="3:31" ht="20.100000000000001" customHeight="1">
      <c r="C144" s="520">
        <v>36</v>
      </c>
      <c r="D144" s="523" t="str">
        <f>IF(C12="English","PAHs(8 substances below)",IF(C12="中文","PAHs （下述8种物质）","PAHs （下記8物質）"))</f>
        <v>PAHs （下記8物質）</v>
      </c>
      <c r="E144" s="524"/>
      <c r="F144" s="524"/>
      <c r="G144" s="524"/>
      <c r="H144" s="524"/>
      <c r="I144" s="524"/>
      <c r="J144" s="524"/>
      <c r="K144" s="524"/>
      <c r="L144" s="524"/>
      <c r="M144" s="524"/>
      <c r="N144" s="524"/>
      <c r="O144" s="524"/>
      <c r="P144" s="525"/>
      <c r="Q144" s="526" t="str">
        <f>IF(C12="English","Rubber and plastic parts that come into direct as well as prolonged or short-term repetitive contact with the human skin or the oral cavity: Articles other than toys",IF(C12="中文","长期或反复直接接触皮肤或口腔的橡胶或塑料部件: 玩具以外的成形品","直接皮膚や口腔に長期、繰り返し接触するゴムやプラスチック部品: 玩具以外の成形品"))</f>
        <v>直接皮膚や口腔に長期、繰り返し接触するゴムやプラスチック部品: 玩具以外の成形品</v>
      </c>
      <c r="R144" s="635"/>
      <c r="S144" s="635"/>
      <c r="T144" s="635"/>
      <c r="U144" s="635"/>
      <c r="V144" s="635"/>
      <c r="W144" s="636"/>
      <c r="X144" s="541" t="str">
        <f>IF(C12="English","Each substance:
1.0",IF(C12="中文","各成分: 1.0","各成分: 1.0"))</f>
        <v>各成分: 1.0</v>
      </c>
      <c r="Y144" s="542"/>
      <c r="Z144" s="542"/>
      <c r="AA144" s="542"/>
      <c r="AB144" s="543"/>
      <c r="AC144" s="547"/>
      <c r="AD144" s="548"/>
      <c r="AE144" s="549"/>
    </row>
    <row r="145" spans="3:31" ht="25.05" customHeight="1">
      <c r="C145" s="521"/>
      <c r="D145" s="550" t="str">
        <f>IF(C12="English","Benzo[a]pyrene (CAS RN 50-32-8)",IF(C12="中文","苯并[a]芘  (CAS RN 50-32-8)","ベンゾ[a]ピレン  (CAS RN 50-32-8)"))</f>
        <v>ベンゾ[a]ピレン  (CAS RN 50-32-8)</v>
      </c>
      <c r="E145" s="551"/>
      <c r="F145" s="551"/>
      <c r="G145" s="551"/>
      <c r="H145" s="551"/>
      <c r="I145" s="551"/>
      <c r="J145" s="551"/>
      <c r="K145" s="551"/>
      <c r="L145" s="551"/>
      <c r="M145" s="551"/>
      <c r="N145" s="551"/>
      <c r="O145" s="551"/>
      <c r="P145" s="552"/>
      <c r="Q145" s="685"/>
      <c r="R145" s="686"/>
      <c r="S145" s="686"/>
      <c r="T145" s="686"/>
      <c r="U145" s="686"/>
      <c r="V145" s="686"/>
      <c r="W145" s="687"/>
      <c r="X145" s="544"/>
      <c r="Y145" s="545"/>
      <c r="Z145" s="545"/>
      <c r="AA145" s="545"/>
      <c r="AB145" s="546"/>
      <c r="AC145" s="506"/>
      <c r="AD145" s="507"/>
      <c r="AE145" s="508"/>
    </row>
    <row r="146" spans="3:31" ht="25.05" customHeight="1">
      <c r="C146" s="521"/>
      <c r="D146" s="503" t="str">
        <f>IF(C12="English","Benzo[e]pyrene (CAS RN 192-97-2)",IF(C12="中文","苯并[e]芘  (CAS RN 192-97-2)","ベンゾ[e]ピレン  (CAS RN 192-97-2)"))</f>
        <v>ベンゾ[e]ピレン  (CAS RN 192-97-2)</v>
      </c>
      <c r="E146" s="504"/>
      <c r="F146" s="504"/>
      <c r="G146" s="504"/>
      <c r="H146" s="504"/>
      <c r="I146" s="504"/>
      <c r="J146" s="504"/>
      <c r="K146" s="504"/>
      <c r="L146" s="504"/>
      <c r="M146" s="504"/>
      <c r="N146" s="504"/>
      <c r="O146" s="504"/>
      <c r="P146" s="505"/>
      <c r="Q146" s="685"/>
      <c r="R146" s="686"/>
      <c r="S146" s="686"/>
      <c r="T146" s="686"/>
      <c r="U146" s="686"/>
      <c r="V146" s="686"/>
      <c r="W146" s="687"/>
      <c r="X146" s="544"/>
      <c r="Y146" s="545"/>
      <c r="Z146" s="545"/>
      <c r="AA146" s="545"/>
      <c r="AB146" s="546"/>
      <c r="AC146" s="506"/>
      <c r="AD146" s="507"/>
      <c r="AE146" s="508"/>
    </row>
    <row r="147" spans="3:31" ht="25.05" customHeight="1">
      <c r="C147" s="521"/>
      <c r="D147" s="503" t="str">
        <f>IF(C12="English","Benz[a]anthracene (CAS RN 56-55-3)",IF(C12="中文","苯并[a]蒽  (CAS RN 56-55-3)","ベンゾ[a]アントラセン  (CAS RN 56-55-3)"))</f>
        <v>ベンゾ[a]アントラセン  (CAS RN 56-55-3)</v>
      </c>
      <c r="E147" s="504"/>
      <c r="F147" s="504"/>
      <c r="G147" s="504"/>
      <c r="H147" s="504"/>
      <c r="I147" s="504"/>
      <c r="J147" s="504"/>
      <c r="K147" s="504"/>
      <c r="L147" s="504"/>
      <c r="M147" s="504"/>
      <c r="N147" s="504"/>
      <c r="O147" s="504"/>
      <c r="P147" s="505"/>
      <c r="Q147" s="685"/>
      <c r="R147" s="686"/>
      <c r="S147" s="686"/>
      <c r="T147" s="686"/>
      <c r="U147" s="686"/>
      <c r="V147" s="686"/>
      <c r="W147" s="687"/>
      <c r="X147" s="544"/>
      <c r="Y147" s="545"/>
      <c r="Z147" s="545"/>
      <c r="AA147" s="545"/>
      <c r="AB147" s="546"/>
      <c r="AC147" s="506"/>
      <c r="AD147" s="507"/>
      <c r="AE147" s="508"/>
    </row>
    <row r="148" spans="3:31" ht="25.05" customHeight="1">
      <c r="C148" s="521"/>
      <c r="D148" s="503" t="str">
        <f>IF(C12="English","Chrysene (CAS RN 218-01-9)",IF(C12="中文","屈  (CAS RN 218-01-9)","クリセン  (CAS RN 218-01-9)"))</f>
        <v>クリセン  (CAS RN 218-01-9)</v>
      </c>
      <c r="E148" s="504"/>
      <c r="F148" s="504"/>
      <c r="G148" s="504"/>
      <c r="H148" s="504"/>
      <c r="I148" s="504"/>
      <c r="J148" s="504"/>
      <c r="K148" s="504"/>
      <c r="L148" s="504"/>
      <c r="M148" s="504"/>
      <c r="N148" s="504"/>
      <c r="O148" s="504"/>
      <c r="P148" s="505"/>
      <c r="Q148" s="688"/>
      <c r="R148" s="689"/>
      <c r="S148" s="689"/>
      <c r="T148" s="689"/>
      <c r="U148" s="689"/>
      <c r="V148" s="689"/>
      <c r="W148" s="690"/>
      <c r="X148" s="544"/>
      <c r="Y148" s="545"/>
      <c r="Z148" s="545"/>
      <c r="AA148" s="545"/>
      <c r="AB148" s="546"/>
      <c r="AC148" s="506"/>
      <c r="AD148" s="507"/>
      <c r="AE148" s="508"/>
    </row>
    <row r="149" spans="3:31" ht="25.05" customHeight="1">
      <c r="C149" s="521"/>
      <c r="D149" s="503" t="str">
        <f>IF(C12="English","Benzo[b]fluoranthene (CAS RN 205-99-2)",IF(C12="中文","苯并[b]荧蒽  (CAS RN 205-99-2)","ベンゾ[b]フルオランテン  (CAS RN 205-99-2)"))</f>
        <v>ベンゾ[b]フルオランテン  (CAS RN 205-99-2)</v>
      </c>
      <c r="E149" s="504"/>
      <c r="F149" s="504"/>
      <c r="G149" s="504"/>
      <c r="H149" s="504"/>
      <c r="I149" s="504"/>
      <c r="J149" s="504"/>
      <c r="K149" s="504"/>
      <c r="L149" s="504"/>
      <c r="M149" s="504"/>
      <c r="N149" s="504"/>
      <c r="O149" s="504"/>
      <c r="P149" s="505"/>
      <c r="Q149" s="691" t="str">
        <f>IF(C12="English","Rubber and plastic parts that come into direct as well as prolonged or short-term repetitive contact with the human skin or the oral cavity: Toys",IF(C12="中文","长期或反复直接接触皮肤或口腔的橡胶或塑料部件: 玩具","直接皮膚や口腔に長期、繰り返し接触するゴムやプラスチック部品: 玩具"))</f>
        <v>直接皮膚や口腔に長期、繰り返し接触するゴムやプラスチック部品: 玩具</v>
      </c>
      <c r="R149" s="692"/>
      <c r="S149" s="692"/>
      <c r="T149" s="692"/>
      <c r="U149" s="692"/>
      <c r="V149" s="692"/>
      <c r="W149" s="693"/>
      <c r="X149" s="544"/>
      <c r="Y149" s="697"/>
      <c r="Z149" s="699" t="str">
        <f>IF(C12="English","Each substance:
0.5",IF(C12="中文","各成分: 0.5","各成分0.5"))</f>
        <v>各成分0.5</v>
      </c>
      <c r="AA149" s="700"/>
      <c r="AB149" s="701"/>
      <c r="AC149" s="506"/>
      <c r="AD149" s="507"/>
      <c r="AE149" s="508"/>
    </row>
    <row r="150" spans="3:31" ht="35.1" customHeight="1">
      <c r="C150" s="521"/>
      <c r="D150" s="503" t="str">
        <f>IF(C12="English","Benzo[j]fluoranthene solution  (CAS RN205-82-3)",IF(C12="中文","苯并[j]荧蒽  (CAS RN 205-82-3)","ベンゾ[j]フルオランテン  (CAS RN 205-82-3)"))</f>
        <v>ベンゾ[j]フルオランテン  (CAS RN 205-82-3)</v>
      </c>
      <c r="E150" s="504"/>
      <c r="F150" s="504"/>
      <c r="G150" s="504"/>
      <c r="H150" s="504"/>
      <c r="I150" s="504"/>
      <c r="J150" s="504"/>
      <c r="K150" s="504"/>
      <c r="L150" s="504"/>
      <c r="M150" s="504"/>
      <c r="N150" s="504"/>
      <c r="O150" s="504"/>
      <c r="P150" s="505"/>
      <c r="Q150" s="685"/>
      <c r="R150" s="686"/>
      <c r="S150" s="686"/>
      <c r="T150" s="686"/>
      <c r="U150" s="686"/>
      <c r="V150" s="686"/>
      <c r="W150" s="687"/>
      <c r="X150" s="544"/>
      <c r="Y150" s="697"/>
      <c r="Z150" s="702"/>
      <c r="AA150" s="703"/>
      <c r="AB150" s="704"/>
      <c r="AC150" s="506"/>
      <c r="AD150" s="507"/>
      <c r="AE150" s="508"/>
    </row>
    <row r="151" spans="3:31" ht="25.05" customHeight="1">
      <c r="C151" s="521"/>
      <c r="D151" s="503" t="str">
        <f>IF(C12="English","Benzo[k]fluoranthene  (CAS RN 207-08-9)",IF(C12="中文","苯并[k]荧蒽  (CAS RN 207-08-9)","ベンゾ[k]フルオランテン  (CAS RN 207-08-9)"))</f>
        <v>ベンゾ[k]フルオランテン  (CAS RN 207-08-9)</v>
      </c>
      <c r="E151" s="504"/>
      <c r="F151" s="504"/>
      <c r="G151" s="504"/>
      <c r="H151" s="504"/>
      <c r="I151" s="504"/>
      <c r="J151" s="504"/>
      <c r="K151" s="504"/>
      <c r="L151" s="504"/>
      <c r="M151" s="504"/>
      <c r="N151" s="504"/>
      <c r="O151" s="504"/>
      <c r="P151" s="505"/>
      <c r="Q151" s="685"/>
      <c r="R151" s="686"/>
      <c r="S151" s="686"/>
      <c r="T151" s="686"/>
      <c r="U151" s="686"/>
      <c r="V151" s="686"/>
      <c r="W151" s="687"/>
      <c r="X151" s="544"/>
      <c r="Y151" s="697"/>
      <c r="Z151" s="702"/>
      <c r="AA151" s="703"/>
      <c r="AB151" s="704"/>
      <c r="AC151" s="506"/>
      <c r="AD151" s="507"/>
      <c r="AE151" s="508"/>
    </row>
    <row r="152" spans="3:31" ht="25.05" customHeight="1">
      <c r="C152" s="522"/>
      <c r="D152" s="509" t="str">
        <f>IF(C12="English","Dibenz[a,h]anthracen  (CAS RN 53-70-3)",IF(C12="中文","二苯并[a，h]蒽  (CAS RN 53-70-3)","ジベンゾ[a,h]アントラセン  (CAS RN 53-70-3)"))</f>
        <v>ジベンゾ[a,h]アントラセン  (CAS RN 53-70-3)</v>
      </c>
      <c r="E152" s="510"/>
      <c r="F152" s="510"/>
      <c r="G152" s="510"/>
      <c r="H152" s="510"/>
      <c r="I152" s="510"/>
      <c r="J152" s="510"/>
      <c r="K152" s="510"/>
      <c r="L152" s="510"/>
      <c r="M152" s="510"/>
      <c r="N152" s="510"/>
      <c r="O152" s="510"/>
      <c r="P152" s="511"/>
      <c r="Q152" s="694"/>
      <c r="R152" s="695"/>
      <c r="S152" s="695"/>
      <c r="T152" s="695"/>
      <c r="U152" s="695"/>
      <c r="V152" s="695"/>
      <c r="W152" s="696"/>
      <c r="X152" s="661"/>
      <c r="Y152" s="698"/>
      <c r="Z152" s="705"/>
      <c r="AA152" s="706"/>
      <c r="AB152" s="707"/>
      <c r="AC152" s="506"/>
      <c r="AD152" s="507"/>
      <c r="AE152" s="508"/>
    </row>
    <row r="153" spans="3:31" ht="30" customHeight="1">
      <c r="C153" s="159">
        <v>37</v>
      </c>
      <c r="D153" s="523" t="str">
        <f>IF(C12="English","Halogenated diphenylmethane（*3）",IF(C12="中文","卤代二苯甲烷（*3）","ハロゲン化ジフェニルメタン（*3）"))</f>
        <v>ハロゲン化ジフェニルメタン（*3）</v>
      </c>
      <c r="E153" s="524"/>
      <c r="F153" s="524"/>
      <c r="G153" s="524"/>
      <c r="H153" s="524"/>
      <c r="I153" s="524"/>
      <c r="J153" s="524"/>
      <c r="K153" s="524"/>
      <c r="L153" s="524"/>
      <c r="M153" s="524"/>
      <c r="N153" s="524"/>
      <c r="O153" s="524"/>
      <c r="P153" s="525"/>
      <c r="Q153" s="711" t="str">
        <f>IF(C12="English","All uses",IF(C12="中文","所有用途","全ての用途"))</f>
        <v>全ての用途</v>
      </c>
      <c r="R153" s="712"/>
      <c r="S153" s="712"/>
      <c r="T153" s="712"/>
      <c r="U153" s="712"/>
      <c r="V153" s="712"/>
      <c r="W153" s="713"/>
      <c r="X153" s="605" t="str">
        <f>IF(C12="English","Intentionally 
added",IF(C12="中文","禁止有意添加","意図的添加禁止"))</f>
        <v>意図的添加禁止</v>
      </c>
      <c r="Y153" s="606"/>
      <c r="Z153" s="606"/>
      <c r="AA153" s="606"/>
      <c r="AB153" s="607"/>
      <c r="AC153" s="506"/>
      <c r="AD153" s="507"/>
      <c r="AE153" s="508"/>
    </row>
    <row r="154" spans="3:31" ht="30" customHeight="1">
      <c r="C154" s="602">
        <v>38</v>
      </c>
      <c r="D154" s="526" t="str">
        <f>IF(C12="English","Benzene
(CAS RN 71-43-2)",IF(C12="中文","苯
(CAS RN 71-43-2) ","ベンゼン
(CAS RN 71-43-2)"))</f>
        <v>ベンゼン
(CAS RN 71-43-2)</v>
      </c>
      <c r="E154" s="635"/>
      <c r="F154" s="635"/>
      <c r="G154" s="635"/>
      <c r="H154" s="635"/>
      <c r="I154" s="635"/>
      <c r="J154" s="635"/>
      <c r="K154" s="635"/>
      <c r="L154" s="635"/>
      <c r="M154" s="635"/>
      <c r="N154" s="635"/>
      <c r="O154" s="635"/>
      <c r="P154" s="636"/>
      <c r="Q154" s="714" t="str">
        <f>IF(C12="English","Toys or products for children",IF(C12="中文","玩具、儿童产品","玩具、子供向け製品"))</f>
        <v>玩具、子供向け製品</v>
      </c>
      <c r="R154" s="715"/>
      <c r="S154" s="715"/>
      <c r="T154" s="715"/>
      <c r="U154" s="715"/>
      <c r="V154" s="715"/>
      <c r="W154" s="716"/>
      <c r="X154" s="586">
        <v>5</v>
      </c>
      <c r="Y154" s="587"/>
      <c r="Z154" s="587"/>
      <c r="AA154" s="587"/>
      <c r="AB154" s="588"/>
      <c r="AC154" s="577"/>
      <c r="AD154" s="578"/>
      <c r="AE154" s="615"/>
    </row>
    <row r="155" spans="3:31" ht="15" customHeight="1">
      <c r="C155" s="604"/>
      <c r="D155" s="694"/>
      <c r="E155" s="695"/>
      <c r="F155" s="695"/>
      <c r="G155" s="695"/>
      <c r="H155" s="695"/>
      <c r="I155" s="695"/>
      <c r="J155" s="695"/>
      <c r="K155" s="695"/>
      <c r="L155" s="695"/>
      <c r="M155" s="695"/>
      <c r="N155" s="695"/>
      <c r="O155" s="695"/>
      <c r="P155" s="696"/>
      <c r="Q155" s="708" t="str">
        <f>IF(C12="English","Substances or mixture",IF(C12="中文","物质或混合物","物質または混合物"))</f>
        <v>物質または混合物</v>
      </c>
      <c r="R155" s="709"/>
      <c r="S155" s="709"/>
      <c r="T155" s="709"/>
      <c r="U155" s="709"/>
      <c r="V155" s="709"/>
      <c r="W155" s="710"/>
      <c r="X155" s="623">
        <v>1000</v>
      </c>
      <c r="Y155" s="624"/>
      <c r="Z155" s="624"/>
      <c r="AA155" s="624"/>
      <c r="AB155" s="625"/>
      <c r="AC155" s="620"/>
      <c r="AD155" s="621"/>
      <c r="AE155" s="622"/>
    </row>
    <row r="156" spans="3:31" ht="30" customHeight="1">
      <c r="C156" s="169">
        <v>39</v>
      </c>
      <c r="D156" s="638" t="str">
        <f>IF(C12="English","Tris(1-aziridinyl)phosphine oxide （TAPO）(CAS RN 545-55-1)",IF(C12="中文","三（1-氮丙啶基）氧化膦（TAPO）
(CAS RN 545-55-1)","トリス（1-アジリジニル）ホスフィンオキシド　（TAPO）(CAS RN 545-55-1)"))</f>
        <v>トリス（1-アジリジニル）ホスフィンオキシド　（TAPO）(CAS RN 545-55-1)</v>
      </c>
      <c r="E156" s="644"/>
      <c r="F156" s="644"/>
      <c r="G156" s="644"/>
      <c r="H156" s="644"/>
      <c r="I156" s="644"/>
      <c r="J156" s="644"/>
      <c r="K156" s="644"/>
      <c r="L156" s="644"/>
      <c r="M156" s="644"/>
      <c r="N156" s="644"/>
      <c r="O156" s="644"/>
      <c r="P156" s="645"/>
      <c r="Q156" s="679" t="str">
        <f>IF(C12="English","Textile products in contact with human skin directly",IF(C12="中文","直接接触皮肤的纤维产品","直接皮膚に触れる繊維製品"))</f>
        <v>直接皮膚に触れる繊維製品</v>
      </c>
      <c r="R156" s="680"/>
      <c r="S156" s="680"/>
      <c r="T156" s="680"/>
      <c r="U156" s="680"/>
      <c r="V156" s="680"/>
      <c r="W156" s="681"/>
      <c r="X156" s="605" t="str">
        <f>IF(C12="English","Intentionally 
added",IF(C12="中文","禁止有意添加","意図的添加禁止"))</f>
        <v>意図的添加禁止</v>
      </c>
      <c r="Y156" s="606"/>
      <c r="Z156" s="606"/>
      <c r="AA156" s="606"/>
      <c r="AB156" s="607"/>
      <c r="AC156" s="506"/>
      <c r="AD156" s="507"/>
      <c r="AE156" s="508"/>
    </row>
    <row r="157" spans="3:31" ht="30" customHeight="1">
      <c r="C157" s="169">
        <v>40</v>
      </c>
      <c r="D157" s="638" t="str">
        <f>IF(C12="English","Tris(2,3-dibromopropyl) phosphate (TBPP)   (CAS RN 126-72-7)",IF(C12="中文","三（2,3-二溴丙基）磷酸酯（TBPP）
(CAS RN 126-72-7)","リン酸トリス（2,3－ジブロモプロピル）（TBPP）(CAS RN 126-72-7)"))</f>
        <v>リン酸トリス（2,3－ジブロモプロピル）（TBPP）(CAS RN 126-72-7)</v>
      </c>
      <c r="E157" s="644"/>
      <c r="F157" s="644"/>
      <c r="G157" s="644"/>
      <c r="H157" s="644"/>
      <c r="I157" s="644"/>
      <c r="J157" s="644"/>
      <c r="K157" s="644"/>
      <c r="L157" s="644"/>
      <c r="M157" s="644"/>
      <c r="N157" s="644"/>
      <c r="O157" s="644"/>
      <c r="P157" s="645"/>
      <c r="Q157" s="679" t="str">
        <f>IF(C12="English","Textile products in contact with human skin directly",IF(C12="中文","直接接触皮肤的纤维产品","直接皮膚に触れる繊維製品"))</f>
        <v>直接皮膚に触れる繊維製品</v>
      </c>
      <c r="R157" s="680"/>
      <c r="S157" s="680"/>
      <c r="T157" s="680"/>
      <c r="U157" s="680"/>
      <c r="V157" s="680"/>
      <c r="W157" s="681"/>
      <c r="X157" s="605" t="str">
        <f>IF(C12="English","Intentionally 
added",IF(C12="中文","禁止有意添加","意図的添加禁止"))</f>
        <v>意図的添加禁止</v>
      </c>
      <c r="Y157" s="606"/>
      <c r="Z157" s="606"/>
      <c r="AA157" s="606"/>
      <c r="AB157" s="607"/>
      <c r="AC157" s="506"/>
      <c r="AD157" s="507"/>
      <c r="AE157" s="508"/>
    </row>
    <row r="158" spans="3:31" ht="15" customHeight="1">
      <c r="C158" s="169">
        <v>41</v>
      </c>
      <c r="D158" s="638" t="str">
        <f>IF(C12="English","Perchlorates",IF(C12="中文","高氯酸盐","過塩素酸塩"))</f>
        <v>過塩素酸塩</v>
      </c>
      <c r="E158" s="644"/>
      <c r="F158" s="644"/>
      <c r="G158" s="644"/>
      <c r="H158" s="644"/>
      <c r="I158" s="644"/>
      <c r="J158" s="644"/>
      <c r="K158" s="644"/>
      <c r="L158" s="644"/>
      <c r="M158" s="644"/>
      <c r="N158" s="644"/>
      <c r="O158" s="644"/>
      <c r="P158" s="645"/>
      <c r="Q158" s="679" t="str">
        <f>IF(C12="English","All uses",IF(C12="中文","所有用途","全ての用途"))</f>
        <v>全ての用途</v>
      </c>
      <c r="R158" s="680"/>
      <c r="S158" s="680"/>
      <c r="T158" s="680"/>
      <c r="U158" s="680"/>
      <c r="V158" s="680"/>
      <c r="W158" s="681"/>
      <c r="X158" s="605" t="str">
        <f>IF(C12="English","0.006ppm of parts",IF(C12="中文","产品的 0.006","製品の 0.006"))</f>
        <v>製品の 0.006</v>
      </c>
      <c r="Y158" s="606"/>
      <c r="Z158" s="606"/>
      <c r="AA158" s="606"/>
      <c r="AB158" s="607"/>
      <c r="AC158" s="506"/>
      <c r="AD158" s="507"/>
      <c r="AE158" s="508"/>
    </row>
    <row r="159" spans="3:31" ht="30" customHeight="1">
      <c r="C159" s="168">
        <v>42</v>
      </c>
      <c r="D159" s="638" t="str">
        <f>IF(C12="English","2,4,6-Tri-tert-butylphenol  
(CAS RN 732-26-3)",IF(C12="中文","2,4,6-三-叔-丁基苯酚
(CAS RN 732-26-3)","2,4,6-トリ-ターシャリ-ブチルフェノール
(CAS RN 732-26-3)"))</f>
        <v>2,4,6-トリ-ターシャリ-ブチルフェノール
(CAS RN 732-26-3)</v>
      </c>
      <c r="E159" s="644"/>
      <c r="F159" s="644"/>
      <c r="G159" s="644"/>
      <c r="H159" s="644"/>
      <c r="I159" s="644"/>
      <c r="J159" s="644"/>
      <c r="K159" s="644"/>
      <c r="L159" s="644"/>
      <c r="M159" s="644"/>
      <c r="N159" s="644"/>
      <c r="O159" s="644"/>
      <c r="P159" s="645"/>
      <c r="Q159" s="667" t="str">
        <f>IF(C12="English","All uses",IF(C12="中文","所有用途","全ての用途"))</f>
        <v>全ての用途</v>
      </c>
      <c r="R159" s="668"/>
      <c r="S159" s="668"/>
      <c r="T159" s="668"/>
      <c r="U159" s="668"/>
      <c r="V159" s="668"/>
      <c r="W159" s="669"/>
      <c r="X159" s="605" t="str">
        <f>IF(C12="English","Intentionally 
added",IF(C12="中文","禁止有意添加","意図的添加禁止"))</f>
        <v>意図的添加禁止</v>
      </c>
      <c r="Y159" s="606"/>
      <c r="Z159" s="606"/>
      <c r="AA159" s="606"/>
      <c r="AB159" s="607"/>
      <c r="AC159" s="506"/>
      <c r="AD159" s="507"/>
      <c r="AE159" s="508"/>
    </row>
    <row r="160" spans="3:31" ht="75" customHeight="1">
      <c r="C160" s="159">
        <v>43</v>
      </c>
      <c r="D160" s="638" t="str">
        <f>IF(C12="English","Hg, Cd, Cr(VI), Pb, Phthalate esters 4 substances (DEHP, DBP, BBP, DIBP)",IF(C12="中文","汞、镉、六价铬、铅、邻苯二甲酸酯4物质(DEHP, DBP, BBP, DIBP)","水銀、カドミウム、六価クロム、鉛、フタル酸エステル4物質(DEHP, DBP, BBP, DIBP)"))</f>
        <v>水銀、カドミウム、六価クロム、鉛、フタル酸エステル4物質(DEHP, DBP, BBP, DIBP)</v>
      </c>
      <c r="E160" s="644"/>
      <c r="F160" s="644"/>
      <c r="G160" s="644"/>
      <c r="H160" s="644"/>
      <c r="I160" s="644"/>
      <c r="J160" s="644"/>
      <c r="K160" s="644"/>
      <c r="L160" s="644"/>
      <c r="M160" s="644"/>
      <c r="N160" s="644"/>
      <c r="O160" s="644"/>
      <c r="P160" s="645"/>
      <c r="Q160" s="667" t="str">
        <f>IF(C12="English","Packing/Packaging material",IF(C12="中文","包装、梱包材","包装・梱包材"))</f>
        <v>包装・梱包材</v>
      </c>
      <c r="R160" s="668"/>
      <c r="S160" s="668"/>
      <c r="T160" s="668"/>
      <c r="U160" s="668"/>
      <c r="V160" s="668"/>
      <c r="W160" s="669"/>
      <c r="X160" s="605" t="str">
        <f>IF(C12="English","Hg, Cd, Cr(VI), Pb
in total ; 100
Phthalate esters
in total ; 1,000",IF(C12="中文","镉、铅、六价铬、水银合计:100  邻苯二甲酸酯合计:1000","水銀、カドミウム、六価クロム、鉛：合計:100  フタル酸エステル：合計:1000"))</f>
        <v>水銀、カドミウム、六価クロム、鉛：合計:100  フタル酸エステル：合計:1000</v>
      </c>
      <c r="Y160" s="606"/>
      <c r="Z160" s="606"/>
      <c r="AA160" s="606"/>
      <c r="AB160" s="607"/>
      <c r="AC160" s="506"/>
      <c r="AD160" s="507"/>
      <c r="AE160" s="508"/>
    </row>
    <row r="161" spans="3:31" ht="30" customHeight="1">
      <c r="C161" s="168">
        <v>44</v>
      </c>
      <c r="D161" s="638" t="str">
        <f>IF(C12="English","Pentachlorothiophenol (PCTP)
(CAS RN 133-49-3)",IF(C12="中文","五氯苯硫酚(PCTP)
(CAS RN 133-49-3)","ペンタクロロチオフェノール (PCTP)
(CAS RN 133-49-3)"))</f>
        <v>ペンタクロロチオフェノール (PCTP)
(CAS RN 133-49-3)</v>
      </c>
      <c r="E161" s="644"/>
      <c r="F161" s="644"/>
      <c r="G161" s="644"/>
      <c r="H161" s="644"/>
      <c r="I161" s="644"/>
      <c r="J161" s="644"/>
      <c r="K161" s="644"/>
      <c r="L161" s="644"/>
      <c r="M161" s="644"/>
      <c r="N161" s="644"/>
      <c r="O161" s="644"/>
      <c r="P161" s="645"/>
      <c r="Q161" s="667" t="str">
        <f>IF(C12="English","All uses",IF(C12="中文","所有用途","全ての用途"))</f>
        <v>全ての用途</v>
      </c>
      <c r="R161" s="668"/>
      <c r="S161" s="668"/>
      <c r="T161" s="668"/>
      <c r="U161" s="668"/>
      <c r="V161" s="668"/>
      <c r="W161" s="669"/>
      <c r="X161" s="717">
        <v>0.01</v>
      </c>
      <c r="Y161" s="606"/>
      <c r="Z161" s="606"/>
      <c r="AA161" s="606"/>
      <c r="AB161" s="607"/>
      <c r="AC161" s="506"/>
      <c r="AD161" s="507"/>
      <c r="AE161" s="508"/>
    </row>
    <row r="162" spans="3:31" ht="30" customHeight="1">
      <c r="C162" s="168">
        <v>45</v>
      </c>
      <c r="D162" s="638" t="str">
        <f>IF(C12="English","Hexachlorobutadiene (HCBD)
(CAS RN 87-68-3)",IF(C12="中文","六氯丁二烯 (HCBD)
(CAS RN 87-68-3)","ヘキサクロロブタジエン (HCBD)
(CAS RN 87-68-3)"))</f>
        <v>ヘキサクロロブタジエン (HCBD)
(CAS RN 87-68-3)</v>
      </c>
      <c r="E162" s="644"/>
      <c r="F162" s="644"/>
      <c r="G162" s="644"/>
      <c r="H162" s="644"/>
      <c r="I162" s="644"/>
      <c r="J162" s="644"/>
      <c r="K162" s="644"/>
      <c r="L162" s="644"/>
      <c r="M162" s="644"/>
      <c r="N162" s="644"/>
      <c r="O162" s="644"/>
      <c r="P162" s="645"/>
      <c r="Q162" s="667" t="str">
        <f>IF(C12="English","All uses",IF(C12="中文","所有用途","全ての用途"))</f>
        <v>全ての用途</v>
      </c>
      <c r="R162" s="668"/>
      <c r="S162" s="668"/>
      <c r="T162" s="668"/>
      <c r="U162" s="668"/>
      <c r="V162" s="668"/>
      <c r="W162" s="669"/>
      <c r="X162" s="605" t="str">
        <f>IF(C12="English","Intentionally 
added",IF(C12="中文","禁止有意添加","意図的添加禁止"))</f>
        <v>意図的添加禁止</v>
      </c>
      <c r="Y162" s="606"/>
      <c r="Z162" s="606"/>
      <c r="AA162" s="606"/>
      <c r="AB162" s="607"/>
      <c r="AC162" s="506"/>
      <c r="AD162" s="507"/>
      <c r="AE162" s="508"/>
    </row>
    <row r="163" spans="3:31" ht="30" customHeight="1">
      <c r="C163" s="168">
        <v>46</v>
      </c>
      <c r="D163" s="638" t="str">
        <f>IF(C12="English","Phenol, isopropylated　phosphate (PIP(3:1))(CAS RN 68937-41-7)",IF(C12="中文","异丙基化磷酸三苯酯 (PIP(3:1))(CAS RN 68937-41-7)","リン酸トリアリールイソプロピル化合物 (PIP(3:1))(CAS RN 68937-41-7)"))</f>
        <v>リン酸トリアリールイソプロピル化合物 (PIP(3:1))(CAS RN 68937-41-7)</v>
      </c>
      <c r="E163" s="644"/>
      <c r="F163" s="644"/>
      <c r="G163" s="644"/>
      <c r="H163" s="644"/>
      <c r="I163" s="644"/>
      <c r="J163" s="644"/>
      <c r="K163" s="644"/>
      <c r="L163" s="644"/>
      <c r="M163" s="644"/>
      <c r="N163" s="644"/>
      <c r="O163" s="644"/>
      <c r="P163" s="645"/>
      <c r="Q163" s="667" t="str">
        <f>IF(C12="English","All uses",IF(C12="中文","所有用途","全ての用途"))</f>
        <v>全ての用途</v>
      </c>
      <c r="R163" s="668"/>
      <c r="S163" s="668"/>
      <c r="T163" s="668"/>
      <c r="U163" s="668"/>
      <c r="V163" s="668"/>
      <c r="W163" s="669"/>
      <c r="X163" s="605" t="str">
        <f>IF(C12="English","Intentionally 
added",IF(C12="中文","禁止有意添加","意図的添加禁止"))</f>
        <v>意図的添加禁止</v>
      </c>
      <c r="Y163" s="606"/>
      <c r="Z163" s="606"/>
      <c r="AA163" s="606"/>
      <c r="AB163" s="607"/>
      <c r="AC163" s="506"/>
      <c r="AD163" s="507"/>
      <c r="AE163" s="508"/>
    </row>
    <row r="164" spans="3:31" ht="30" customHeight="1">
      <c r="C164" s="168">
        <v>47</v>
      </c>
      <c r="D164" s="638" t="str">
        <f>IF(C12="English","Perfluorohexane sulfonates (PFHxS) and its salts and PFHxS-related substances",IF(C17="中文","全氟己基磺酸(PFHxS)及其盐和相关物质","ペルフルオロヘキサンスルホン酸（PFHxS）とその塩及び関連物質"))</f>
        <v>ペルフルオロヘキサンスルホン酸（PFHxS）とその塩及び関連物質</v>
      </c>
      <c r="E164" s="644"/>
      <c r="F164" s="644"/>
      <c r="G164" s="644"/>
      <c r="H164" s="644"/>
      <c r="I164" s="644"/>
      <c r="J164" s="644"/>
      <c r="K164" s="644"/>
      <c r="L164" s="644"/>
      <c r="M164" s="644"/>
      <c r="N164" s="644"/>
      <c r="O164" s="644"/>
      <c r="P164" s="645"/>
      <c r="Q164" s="667" t="str">
        <f>IF(C12="English","All uses",IF(C12="中文","所有用途","全ての用途"))</f>
        <v>全ての用途</v>
      </c>
      <c r="R164" s="668"/>
      <c r="S164" s="668"/>
      <c r="T164" s="668"/>
      <c r="U164" s="668"/>
      <c r="V164" s="668"/>
      <c r="W164" s="669"/>
      <c r="X164" s="605" t="str">
        <f>IF(C12="English","Intentionally 
added",IF(C12="中文","禁止有意添加","意図的添加禁止"))</f>
        <v>意図的添加禁止</v>
      </c>
      <c r="Y164" s="606"/>
      <c r="Z164" s="606"/>
      <c r="AA164" s="606"/>
      <c r="AB164" s="607"/>
      <c r="AC164" s="506"/>
      <c r="AD164" s="507"/>
      <c r="AE164" s="508"/>
    </row>
    <row r="165" spans="3:31" ht="30" customHeight="1">
      <c r="C165" s="168">
        <v>48</v>
      </c>
      <c r="D165" s="638" t="str">
        <f>IF(C12="English","Methylene Chloride
(CAS RN 75-09-2)",IF(C20="中文","二氯甲烷
(CAS RN 75-09-2)","ジクロロメタン
(CAS RN 75-09-2)"))</f>
        <v>ジクロロメタン
(CAS RN 75-09-2)</v>
      </c>
      <c r="E165" s="644"/>
      <c r="F165" s="644"/>
      <c r="G165" s="644"/>
      <c r="H165" s="644"/>
      <c r="I165" s="644"/>
      <c r="J165" s="644"/>
      <c r="K165" s="644"/>
      <c r="L165" s="644"/>
      <c r="M165" s="644"/>
      <c r="N165" s="644"/>
      <c r="O165" s="644"/>
      <c r="P165" s="645"/>
      <c r="Q165" s="667" t="str">
        <f>IF(C12="English","All uses",IF(C12="中文","所有用途","全ての用途"))</f>
        <v>全ての用途</v>
      </c>
      <c r="R165" s="668"/>
      <c r="S165" s="668"/>
      <c r="T165" s="668"/>
      <c r="U165" s="668"/>
      <c r="V165" s="668"/>
      <c r="W165" s="669"/>
      <c r="X165" s="605" t="str">
        <f>IF(C12="English","Intentionally 
added",IF(C12="中文","禁止有意添加","意図的添加禁止"))</f>
        <v>意図的添加禁止</v>
      </c>
      <c r="Y165" s="606"/>
      <c r="Z165" s="606"/>
      <c r="AA165" s="606"/>
      <c r="AB165" s="607"/>
      <c r="AC165" s="506"/>
      <c r="AD165" s="507"/>
      <c r="AE165" s="508"/>
    </row>
    <row r="166" spans="3:31" ht="30" customHeight="1">
      <c r="C166" s="168">
        <v>49</v>
      </c>
      <c r="D166" s="638" t="str">
        <f>IF(C12="English","1-Bromopropane 
(CAS RN 106-94-5)",IF(C21="中文","1-溴丙烷
(CAS RN 106-94-5)","1-ブロモプロパン
(CAS RN 106-94-5)"))</f>
        <v>1-ブロモプロパン
(CAS RN 106-94-5)</v>
      </c>
      <c r="E166" s="644"/>
      <c r="F166" s="644"/>
      <c r="G166" s="644"/>
      <c r="H166" s="644"/>
      <c r="I166" s="644"/>
      <c r="J166" s="644"/>
      <c r="K166" s="644"/>
      <c r="L166" s="644"/>
      <c r="M166" s="644"/>
      <c r="N166" s="644"/>
      <c r="O166" s="644"/>
      <c r="P166" s="645"/>
      <c r="Q166" s="667" t="str">
        <f>IF(C12="English","All uses",IF(C12="中文","所有用途","全ての用途"))</f>
        <v>全ての用途</v>
      </c>
      <c r="R166" s="668"/>
      <c r="S166" s="668"/>
      <c r="T166" s="668"/>
      <c r="U166" s="668"/>
      <c r="V166" s="668"/>
      <c r="W166" s="669"/>
      <c r="X166" s="605" t="str">
        <f>IF(C12="English","Intentionally 
added",IF(C12="中文","禁止有意添加","意図的添加禁止"))</f>
        <v>意図的添加禁止</v>
      </c>
      <c r="Y166" s="606"/>
      <c r="Z166" s="606"/>
      <c r="AA166" s="606"/>
      <c r="AB166" s="607"/>
      <c r="AC166" s="506"/>
      <c r="AD166" s="507"/>
      <c r="AE166" s="508"/>
    </row>
    <row r="167" spans="3:31" ht="30" customHeight="1">
      <c r="C167" s="168">
        <v>50</v>
      </c>
      <c r="D167" s="638" t="str">
        <f>IF(C12="English","Carbon Tetrachloride
(CAS RN 56-23-5)",IF(C22="中文","四氯化碳
(CAS RN 56-23-5)","四塩化炭素
(CAS RN 56-23-5)"))</f>
        <v>四塩化炭素
(CAS RN 56-23-5)</v>
      </c>
      <c r="E167" s="644"/>
      <c r="F167" s="644"/>
      <c r="G167" s="644"/>
      <c r="H167" s="644"/>
      <c r="I167" s="644"/>
      <c r="J167" s="644"/>
      <c r="K167" s="644"/>
      <c r="L167" s="644"/>
      <c r="M167" s="644"/>
      <c r="N167" s="644"/>
      <c r="O167" s="644"/>
      <c r="P167" s="645"/>
      <c r="Q167" s="667" t="str">
        <f>IF(C12="English","All uses",IF(C12="中文","所有用途","全ての用途"))</f>
        <v>全ての用途</v>
      </c>
      <c r="R167" s="668"/>
      <c r="S167" s="668"/>
      <c r="T167" s="668"/>
      <c r="U167" s="668"/>
      <c r="V167" s="668"/>
      <c r="W167" s="669"/>
      <c r="X167" s="605" t="str">
        <f>IF(C12="English","Intentionally 
added",IF(C12="中文","禁止有意添加","意図的添加禁止"))</f>
        <v>意図的添加禁止</v>
      </c>
      <c r="Y167" s="606"/>
      <c r="Z167" s="606"/>
      <c r="AA167" s="606"/>
      <c r="AB167" s="607"/>
      <c r="AC167" s="506"/>
      <c r="AD167" s="507"/>
      <c r="AE167" s="508"/>
    </row>
    <row r="168" spans="3:31" ht="30" customHeight="1">
      <c r="C168" s="168">
        <v>51</v>
      </c>
      <c r="D168" s="638" t="str">
        <f>IF(C12="English","1,4-dioxane
(CAS RN 123-91-1)",IF(C23="中文","1,4-二氧六环
(CAS RN 123-91-1)","1,4-ジオキサン
(CAS RN 123-91-1)"))</f>
        <v>1,4-ジオキサン
(CAS RN 123-91-1)</v>
      </c>
      <c r="E168" s="644"/>
      <c r="F168" s="644"/>
      <c r="G168" s="644"/>
      <c r="H168" s="644"/>
      <c r="I168" s="644"/>
      <c r="J168" s="644"/>
      <c r="K168" s="644"/>
      <c r="L168" s="644"/>
      <c r="M168" s="644"/>
      <c r="N168" s="644"/>
      <c r="O168" s="644"/>
      <c r="P168" s="645"/>
      <c r="Q168" s="667" t="str">
        <f>IF(C12="English","All uses",IF(C12="中文","所有用途","全ての用途"))</f>
        <v>全ての用途</v>
      </c>
      <c r="R168" s="668"/>
      <c r="S168" s="668"/>
      <c r="T168" s="668"/>
      <c r="U168" s="668"/>
      <c r="V168" s="668"/>
      <c r="W168" s="669"/>
      <c r="X168" s="605" t="str">
        <f>IF(C12="English","Intentionally 
added",IF(C12="中文","禁止有意添加","意図的添加禁止"))</f>
        <v>意図的添加禁止</v>
      </c>
      <c r="Y168" s="606"/>
      <c r="Z168" s="606"/>
      <c r="AA168" s="606"/>
      <c r="AB168" s="607"/>
      <c r="AC168" s="506"/>
      <c r="AD168" s="507"/>
      <c r="AE168" s="508"/>
    </row>
    <row r="169" spans="3:31" ht="30" customHeight="1">
      <c r="C169" s="159">
        <v>52</v>
      </c>
      <c r="D169" s="638" t="str">
        <f>IF(C12="English","N-Methylpyrrolidone (NMP)
(CAS RN 872-50-4)",IF(C24="中文","N-甲基-2-吡咯烷酮(NMP)
(CAS RN 872-50-4)","N-メチル-2-ピロリドン (NMP)
(CAS RN 872-50-4)"))</f>
        <v>N-メチル-2-ピロリドン (NMP)
(CAS RN 872-50-4)</v>
      </c>
      <c r="E169" s="644"/>
      <c r="F169" s="644"/>
      <c r="G169" s="644"/>
      <c r="H169" s="644"/>
      <c r="I169" s="644"/>
      <c r="J169" s="644"/>
      <c r="K169" s="644"/>
      <c r="L169" s="644"/>
      <c r="M169" s="644"/>
      <c r="N169" s="644"/>
      <c r="O169" s="644"/>
      <c r="P169" s="645"/>
      <c r="Q169" s="667" t="str">
        <f>IF(C12="English","All uses",IF(C12="中文","所有用途","全ての用途"))</f>
        <v>全ての用途</v>
      </c>
      <c r="R169" s="668"/>
      <c r="S169" s="668"/>
      <c r="T169" s="668"/>
      <c r="U169" s="668"/>
      <c r="V169" s="668"/>
      <c r="W169" s="669"/>
      <c r="X169" s="605" t="str">
        <f>IF(C12="English","Intentionally 
added",IF(C12="中文","禁止有意添加","意図的添加禁止"))</f>
        <v>意図的添加禁止</v>
      </c>
      <c r="Y169" s="606"/>
      <c r="Z169" s="606"/>
      <c r="AA169" s="606"/>
      <c r="AB169" s="607"/>
      <c r="AC169" s="506"/>
      <c r="AD169" s="507"/>
      <c r="AE169" s="508"/>
    </row>
    <row r="170" spans="3:31" ht="15" customHeight="1">
      <c r="C170" s="152"/>
      <c r="D170" s="167"/>
      <c r="E170" s="167"/>
      <c r="F170" s="167"/>
      <c r="G170" s="167"/>
      <c r="H170" s="167"/>
      <c r="I170" s="167"/>
      <c r="J170" s="167"/>
      <c r="K170" s="167"/>
      <c r="L170" s="167"/>
      <c r="M170" s="167"/>
      <c r="N170" s="167"/>
      <c r="O170" s="167"/>
      <c r="P170" s="167"/>
      <c r="Q170" s="157"/>
      <c r="R170" s="157"/>
      <c r="S170" s="157"/>
      <c r="T170" s="157"/>
      <c r="U170" s="157"/>
      <c r="V170" s="157"/>
      <c r="W170" s="157"/>
      <c r="X170" s="162"/>
      <c r="Y170" s="162"/>
      <c r="Z170" s="162"/>
      <c r="AA170" s="162"/>
      <c r="AB170" s="162"/>
      <c r="AC170" s="164"/>
      <c r="AD170" s="164"/>
      <c r="AE170" s="164"/>
    </row>
    <row r="171" spans="3:31" ht="15" customHeight="1">
      <c r="C171" s="152"/>
      <c r="D171" s="167"/>
      <c r="E171" s="167"/>
      <c r="F171" s="167"/>
      <c r="G171" s="167"/>
      <c r="H171" s="167"/>
      <c r="I171" s="167"/>
      <c r="J171" s="167"/>
      <c r="K171" s="167"/>
      <c r="L171" s="167"/>
      <c r="M171" s="167"/>
      <c r="N171" s="167"/>
      <c r="O171" s="167"/>
      <c r="P171" s="167"/>
      <c r="Q171" s="157"/>
      <c r="R171" s="157"/>
      <c r="S171" s="157"/>
      <c r="T171" s="157"/>
      <c r="U171" s="157"/>
      <c r="V171" s="157"/>
      <c r="W171" s="157"/>
      <c r="X171" s="162"/>
      <c r="Y171" s="162"/>
      <c r="Z171" s="162"/>
      <c r="AA171" s="162"/>
      <c r="AB171" s="162"/>
      <c r="AC171" s="164"/>
      <c r="AD171" s="164"/>
      <c r="AE171" s="164"/>
    </row>
    <row r="172" spans="3:31" ht="15" customHeight="1">
      <c r="C172" s="152"/>
      <c r="D172" s="167"/>
      <c r="E172" s="167"/>
      <c r="F172" s="167"/>
      <c r="G172" s="167"/>
      <c r="H172" s="167"/>
      <c r="I172" s="167"/>
      <c r="J172" s="167"/>
      <c r="K172" s="167"/>
      <c r="L172" s="167"/>
      <c r="M172" s="167"/>
      <c r="N172" s="167"/>
      <c r="O172" s="167"/>
      <c r="P172" s="167"/>
      <c r="Q172" s="157"/>
      <c r="R172" s="157"/>
      <c r="S172" s="157"/>
      <c r="T172" s="157"/>
      <c r="U172" s="157"/>
      <c r="V172" s="157"/>
      <c r="W172" s="157"/>
      <c r="X172" s="162"/>
      <c r="Y172" s="162"/>
      <c r="Z172" s="162"/>
      <c r="AA172" s="162"/>
      <c r="AB172" s="162"/>
      <c r="AC172" s="164"/>
      <c r="AD172" s="164"/>
      <c r="AE172" s="164"/>
    </row>
    <row r="173" spans="3:31" ht="15" customHeight="1">
      <c r="C173" s="152"/>
      <c r="D173" s="165"/>
      <c r="E173" s="165"/>
      <c r="F173" s="165"/>
      <c r="G173" s="165"/>
      <c r="H173" s="165"/>
      <c r="I173" s="165"/>
      <c r="J173" s="165"/>
      <c r="K173" s="165"/>
      <c r="L173" s="165"/>
      <c r="M173" s="165"/>
      <c r="N173" s="165"/>
      <c r="O173" s="165"/>
      <c r="P173" s="165"/>
      <c r="Q173" s="163"/>
      <c r="R173" s="163"/>
      <c r="S173" s="163"/>
      <c r="T173" s="163"/>
      <c r="U173" s="163"/>
      <c r="V173" s="163"/>
      <c r="W173" s="163"/>
      <c r="X173" s="162"/>
      <c r="Y173" s="162"/>
      <c r="Z173" s="162"/>
      <c r="AA173" s="162"/>
      <c r="AB173" s="162"/>
      <c r="AC173" s="164"/>
      <c r="AD173" s="164"/>
      <c r="AE173" s="164"/>
    </row>
    <row r="174" spans="3:31" ht="15" customHeight="1">
      <c r="C174" s="152"/>
      <c r="D174" s="165"/>
      <c r="E174" s="165"/>
      <c r="F174" s="165"/>
      <c r="G174" s="165"/>
      <c r="H174" s="165"/>
      <c r="I174" s="165"/>
      <c r="J174" s="165"/>
      <c r="K174" s="165"/>
      <c r="L174" s="165"/>
      <c r="M174" s="165"/>
      <c r="N174" s="165"/>
      <c r="O174" s="165"/>
      <c r="P174" s="165"/>
      <c r="Q174" s="163"/>
      <c r="R174" s="163"/>
      <c r="S174" s="163"/>
      <c r="T174" s="163"/>
      <c r="U174" s="163"/>
      <c r="V174" s="163"/>
      <c r="W174" s="163"/>
      <c r="X174" s="162"/>
      <c r="Y174" s="162"/>
      <c r="Z174" s="162"/>
      <c r="AA174" s="162"/>
      <c r="AB174" s="162"/>
      <c r="AC174" s="164"/>
      <c r="AD174" s="164"/>
      <c r="AE174" s="164"/>
    </row>
    <row r="175" spans="3:31" ht="30" customHeight="1">
      <c r="C175" s="168">
        <v>53</v>
      </c>
      <c r="D175" s="638" t="str">
        <f>IF(C12="English","Perchloroethylene
(CAS RN 127-18-4)",IF(C25="中文","四氯乙烯
(CAS RN 127-18-4)","テトラクロロエチレン
(CAS RN 127-18-4)"))</f>
        <v>テトラクロロエチレン
(CAS RN 127-18-4)</v>
      </c>
      <c r="E175" s="644"/>
      <c r="F175" s="644"/>
      <c r="G175" s="644"/>
      <c r="H175" s="644"/>
      <c r="I175" s="644"/>
      <c r="J175" s="644"/>
      <c r="K175" s="644"/>
      <c r="L175" s="644"/>
      <c r="M175" s="644"/>
      <c r="N175" s="644"/>
      <c r="O175" s="644"/>
      <c r="P175" s="645"/>
      <c r="Q175" s="667" t="str">
        <f>IF(C12="English","All uses",IF(C12="中文","所有用途","全ての用途"))</f>
        <v>全ての用途</v>
      </c>
      <c r="R175" s="668"/>
      <c r="S175" s="668"/>
      <c r="T175" s="668"/>
      <c r="U175" s="668"/>
      <c r="V175" s="668"/>
      <c r="W175" s="669"/>
      <c r="X175" s="605" t="str">
        <f>IF(C12="English","Intentionally 
added",IF(C12="中文","禁止有意添加","意図的添加禁止"))</f>
        <v>意図的添加禁止</v>
      </c>
      <c r="Y175" s="606"/>
      <c r="Z175" s="606"/>
      <c r="AA175" s="606"/>
      <c r="AB175" s="607"/>
      <c r="AC175" s="506"/>
      <c r="AD175" s="507"/>
      <c r="AE175" s="508"/>
    </row>
    <row r="176" spans="3:31" ht="30" customHeight="1">
      <c r="C176" s="159">
        <v>54</v>
      </c>
      <c r="D176" s="638" t="str">
        <f>IF(C12="English","Pigment Violet 29
(CAS RN 81-33-4)",IF(C26="中文","苝艳紫红29
(CAS RN 81-33-4)
","ピグメントバイオレット29
(CAS RN 81-33-4)"))</f>
        <v>ピグメントバイオレット29
(CAS RN 81-33-4)</v>
      </c>
      <c r="E176" s="644"/>
      <c r="F176" s="644"/>
      <c r="G176" s="644"/>
      <c r="H176" s="644"/>
      <c r="I176" s="644"/>
      <c r="J176" s="644"/>
      <c r="K176" s="644"/>
      <c r="L176" s="644"/>
      <c r="M176" s="644"/>
      <c r="N176" s="644"/>
      <c r="O176" s="644"/>
      <c r="P176" s="645"/>
      <c r="Q176" s="667" t="str">
        <f>IF(C12="English","All uses",IF(C12="中文","所有用途","全ての用途"))</f>
        <v>全ての用途</v>
      </c>
      <c r="R176" s="668"/>
      <c r="S176" s="668"/>
      <c r="T176" s="668"/>
      <c r="U176" s="668"/>
      <c r="V176" s="668"/>
      <c r="W176" s="669"/>
      <c r="X176" s="605" t="str">
        <f>IF(C12="English","Intentionally 
added",IF(C12="中文","禁止有意添加","意図的添加禁止"))</f>
        <v>意図的添加禁止</v>
      </c>
      <c r="Y176" s="606"/>
      <c r="Z176" s="606"/>
      <c r="AA176" s="606"/>
      <c r="AB176" s="607"/>
      <c r="AC176" s="506"/>
      <c r="AD176" s="507"/>
      <c r="AE176" s="508"/>
    </row>
    <row r="177" spans="2:34" ht="30" customHeight="1">
      <c r="C177" s="168">
        <v>55</v>
      </c>
      <c r="D177" s="638" t="str">
        <f>IF(C12="English","Trichloroethylene (TCE)
(CAS RN 79-01-6)",IF(C27="中文","三氯乙烯 (TCE)
(CAS RN 79-01-6)","トリクロロエチレン (TCE)
(CAS RN 79-01-6)"))</f>
        <v>トリクロロエチレン (TCE)
(CAS RN 79-01-6)</v>
      </c>
      <c r="E177" s="644"/>
      <c r="F177" s="644"/>
      <c r="G177" s="644"/>
      <c r="H177" s="644"/>
      <c r="I177" s="644"/>
      <c r="J177" s="644"/>
      <c r="K177" s="644"/>
      <c r="L177" s="644"/>
      <c r="M177" s="644"/>
      <c r="N177" s="644"/>
      <c r="O177" s="644"/>
      <c r="P177" s="645"/>
      <c r="Q177" s="667" t="str">
        <f>IF(C12="English","All uses",IF(C12="中文","所有用途","全ての用途"))</f>
        <v>全ての用途</v>
      </c>
      <c r="R177" s="668"/>
      <c r="S177" s="668"/>
      <c r="T177" s="668"/>
      <c r="U177" s="668"/>
      <c r="V177" s="668"/>
      <c r="W177" s="669"/>
      <c r="X177" s="605" t="str">
        <f>IF(C12="English","Intentionally 
added",IF(C12="中文","禁止有意添加","意図的添加禁止"))</f>
        <v>意図的添加禁止</v>
      </c>
      <c r="Y177" s="606"/>
      <c r="Z177" s="606"/>
      <c r="AA177" s="606"/>
      <c r="AB177" s="607"/>
      <c r="AC177" s="506"/>
      <c r="AD177" s="507"/>
      <c r="AE177" s="508"/>
    </row>
    <row r="178" spans="2:34" ht="63" customHeight="1">
      <c r="C178" s="602">
        <v>56</v>
      </c>
      <c r="D178" s="526" t="str">
        <f>IF(C12="English","China VOC Regulated Substances",IF(C12="中文","中国VOC管理物质","中国VOC規制物質"))</f>
        <v>中国VOC規制物質</v>
      </c>
      <c r="E178" s="635"/>
      <c r="F178" s="635"/>
      <c r="G178" s="635"/>
      <c r="H178" s="635"/>
      <c r="I178" s="635"/>
      <c r="J178" s="635"/>
      <c r="K178" s="635"/>
      <c r="L178" s="635"/>
      <c r="M178" s="635"/>
      <c r="N178" s="635"/>
      <c r="O178" s="635"/>
      <c r="P178" s="636"/>
      <c r="Q178" s="652" t="str">
        <f>IF(C12="English","Vehicle paints, industrial protective paints, adhesives, inks, and cleaning agents must comply with China National Standard (GB Standard) below. ",IF(C12="中文","关于车辆涂料、工业防护涂料、胶粘合剂、油墨、清洗剂应符合以下中国国家标准(GB规格)","車両塗料、工業防護塗料、接着剤、インク、洗浄剤について下記 中国国家標準（GB規格）へ適合すること"))</f>
        <v>車両塗料、工業防護塗料、接着剤、インク、洗浄剤について下記 中国国家標準（GB規格）へ適合すること</v>
      </c>
      <c r="R178" s="653"/>
      <c r="S178" s="653"/>
      <c r="T178" s="653"/>
      <c r="U178" s="653"/>
      <c r="V178" s="653"/>
      <c r="W178" s="653"/>
      <c r="X178" s="732"/>
      <c r="Y178" s="732"/>
      <c r="Z178" s="732"/>
      <c r="AA178" s="732"/>
      <c r="AB178" s="733"/>
      <c r="AC178" s="577"/>
      <c r="AD178" s="578"/>
      <c r="AE178" s="615"/>
    </row>
    <row r="179" spans="2:34" ht="45" customHeight="1">
      <c r="C179" s="614"/>
      <c r="D179" s="529"/>
      <c r="E179" s="730"/>
      <c r="F179" s="730"/>
      <c r="G179" s="730"/>
      <c r="H179" s="730"/>
      <c r="I179" s="730"/>
      <c r="J179" s="730"/>
      <c r="K179" s="730"/>
      <c r="L179" s="730"/>
      <c r="M179" s="730"/>
      <c r="N179" s="730"/>
      <c r="O179" s="730"/>
      <c r="P179" s="731"/>
      <c r="Q179" s="655" t="s">
        <v>57</v>
      </c>
      <c r="R179" s="296"/>
      <c r="S179" s="296"/>
      <c r="T179" s="296"/>
      <c r="U179" s="296"/>
      <c r="V179" s="296"/>
      <c r="W179" s="296"/>
      <c r="X179" s="296"/>
      <c r="Y179" s="296"/>
      <c r="Z179" s="296"/>
      <c r="AA179" s="296"/>
      <c r="AB179" s="297"/>
      <c r="AC179" s="616"/>
      <c r="AD179" s="617"/>
      <c r="AE179" s="618"/>
    </row>
    <row r="180" spans="2:34" ht="115.05" customHeight="1">
      <c r="C180" s="608"/>
      <c r="D180" s="532"/>
      <c r="E180" s="533"/>
      <c r="F180" s="533"/>
      <c r="G180" s="533"/>
      <c r="H180" s="533"/>
      <c r="I180" s="533"/>
      <c r="J180" s="533"/>
      <c r="K180" s="533"/>
      <c r="L180" s="533"/>
      <c r="M180" s="533"/>
      <c r="N180" s="533"/>
      <c r="O180" s="533"/>
      <c r="P180" s="637"/>
      <c r="Q180" s="718" t="str">
        <f>IF(C12="English","* Refer to GB standard for details
Objects are the above chemical product to the MinebeaMitsumi Group's Plants in China
＊Each product that is manufactured using the above chemicals and becomes dry and part of the parts is not object.
",IF(C12="中文","＊详见GB规格
向美蓓亚三枚集团中国工场交付上述化学品时为管理对象
＊使用上述化学品制造、处于干燥状态、成为零部件一部分的为管理对象外
","＊詳細はGB規格を参照
ミネベアミツミグループの中国工場に納入する上記化学品が対象
＊上記化学品を使用し製造され、乾燥状態となり、部品の一部となったものは対象外"))</f>
        <v>＊詳細はGB規格を参照
ミネベアミツミグループの中国工場に納入する上記化学品が対象
＊上記化学品を使用し製造され、乾燥状態となり、部品の一部となったものは対象外</v>
      </c>
      <c r="R180" s="719"/>
      <c r="S180" s="719"/>
      <c r="T180" s="719"/>
      <c r="U180" s="719"/>
      <c r="V180" s="719"/>
      <c r="W180" s="719"/>
      <c r="X180" s="719"/>
      <c r="Y180" s="719"/>
      <c r="Z180" s="719"/>
      <c r="AA180" s="719"/>
      <c r="AB180" s="720"/>
      <c r="AC180" s="620"/>
      <c r="AD180" s="621"/>
      <c r="AE180" s="622"/>
    </row>
    <row r="181" spans="2:34" ht="14.1" customHeight="1"/>
    <row r="182" spans="2:34" s="4" customFormat="1" ht="14.1" customHeight="1">
      <c r="B182" s="43"/>
      <c r="C182" s="44" t="str">
        <f>IF(C12="English","(*1) Specified amines compounds",IF(C12="中文","(*1) 特定胺化合物一览","(*1) 特定アミン化合物一覧"))</f>
        <v>(*1) 特定アミン化合物一覧</v>
      </c>
      <c r="D182" s="37"/>
      <c r="E182" s="38"/>
      <c r="F182" s="32"/>
      <c r="G182" s="32"/>
      <c r="AG182" s="13"/>
    </row>
    <row r="183" spans="2:34" s="4" customFormat="1" ht="14.1" customHeight="1">
      <c r="B183" s="43"/>
      <c r="C183" s="40" t="s">
        <v>42</v>
      </c>
      <c r="D183" s="721" t="str">
        <f>IF(C12="English","Chemical substances",IF(C12="中文","化学物质名","化学物質名"))</f>
        <v>化学物質名</v>
      </c>
      <c r="E183" s="722"/>
      <c r="F183" s="722"/>
      <c r="G183" s="722"/>
      <c r="H183" s="722"/>
      <c r="I183" s="722"/>
      <c r="J183" s="722"/>
      <c r="K183" s="722"/>
      <c r="L183" s="722"/>
      <c r="M183" s="722"/>
      <c r="N183" s="722"/>
      <c r="O183" s="722"/>
      <c r="P183" s="723"/>
      <c r="Q183" s="721" t="s">
        <v>41</v>
      </c>
      <c r="R183" s="722"/>
      <c r="S183" s="722"/>
      <c r="T183" s="722"/>
      <c r="U183" s="723"/>
      <c r="AG183" s="13"/>
    </row>
    <row r="184" spans="2:34" s="4" customFormat="1" ht="14.1" customHeight="1">
      <c r="B184" s="43"/>
      <c r="C184" s="159">
        <v>1</v>
      </c>
      <c r="D184" s="724" t="str">
        <f>IF(C12="English","4-aminoazobenzene",IF(C12="中文","4-氨基偶氮苯","4-アミノアゾベンゼン"))</f>
        <v>4-アミノアゾベンゼン</v>
      </c>
      <c r="E184" s="725"/>
      <c r="F184" s="725"/>
      <c r="G184" s="725"/>
      <c r="H184" s="725"/>
      <c r="I184" s="725"/>
      <c r="J184" s="725"/>
      <c r="K184" s="725"/>
      <c r="L184" s="725"/>
      <c r="M184" s="725"/>
      <c r="N184" s="725"/>
      <c r="O184" s="725"/>
      <c r="P184" s="726"/>
      <c r="Q184" s="727" t="s">
        <v>26</v>
      </c>
      <c r="R184" s="728"/>
      <c r="S184" s="728"/>
      <c r="T184" s="728"/>
      <c r="U184" s="729"/>
      <c r="AG184" s="13"/>
      <c r="AH184" s="153"/>
    </row>
    <row r="185" spans="2:34" s="4" customFormat="1" ht="14.1" customHeight="1">
      <c r="B185" s="43"/>
      <c r="C185" s="159">
        <v>2</v>
      </c>
      <c r="D185" s="724" t="str">
        <f>IF(C12="English","o-anisidines",IF(C12="中文","邻氨基苯甲醚","o-アニシジン"))</f>
        <v>o-アニシジン</v>
      </c>
      <c r="E185" s="725"/>
      <c r="F185" s="725"/>
      <c r="G185" s="725"/>
      <c r="H185" s="725"/>
      <c r="I185" s="725"/>
      <c r="J185" s="725"/>
      <c r="K185" s="725"/>
      <c r="L185" s="725"/>
      <c r="M185" s="725"/>
      <c r="N185" s="725"/>
      <c r="O185" s="725"/>
      <c r="P185" s="726"/>
      <c r="Q185" s="721" t="s">
        <v>1</v>
      </c>
      <c r="R185" s="722"/>
      <c r="S185" s="722"/>
      <c r="T185" s="722"/>
      <c r="U185" s="723"/>
      <c r="AG185" s="13"/>
    </row>
    <row r="186" spans="2:34" s="4" customFormat="1" ht="14.1" customHeight="1">
      <c r="B186" s="43"/>
      <c r="C186" s="159">
        <v>3</v>
      </c>
      <c r="D186" s="724" t="str">
        <f>IF(C12="English","2-naphthylamine",IF(C12="中文","2-萘胺","2-ナフチルアミン"))</f>
        <v>2-ナフチルアミン</v>
      </c>
      <c r="E186" s="725"/>
      <c r="F186" s="725"/>
      <c r="G186" s="725"/>
      <c r="H186" s="725"/>
      <c r="I186" s="725"/>
      <c r="J186" s="725"/>
      <c r="K186" s="725"/>
      <c r="L186" s="725"/>
      <c r="M186" s="725"/>
      <c r="N186" s="725"/>
      <c r="O186" s="725"/>
      <c r="P186" s="726"/>
      <c r="Q186" s="721" t="s">
        <v>2</v>
      </c>
      <c r="R186" s="722"/>
      <c r="S186" s="722"/>
      <c r="T186" s="722"/>
      <c r="U186" s="723"/>
      <c r="AG186" s="13"/>
    </row>
    <row r="187" spans="2:34" s="4" customFormat="1" ht="14.1" customHeight="1">
      <c r="B187" s="43"/>
      <c r="C187" s="159">
        <v>4</v>
      </c>
      <c r="D187" s="724" t="str">
        <f>IF(C12="English","3,3'-dichlorobenzidine",IF(C12="中文","3,3'-二氯联苯胺","3, 3-ジクロロベンジジン"))</f>
        <v>3, 3-ジクロロベンジジン</v>
      </c>
      <c r="E187" s="725"/>
      <c r="F187" s="725"/>
      <c r="G187" s="725"/>
      <c r="H187" s="725"/>
      <c r="I187" s="725"/>
      <c r="J187" s="725"/>
      <c r="K187" s="725"/>
      <c r="L187" s="725"/>
      <c r="M187" s="725"/>
      <c r="N187" s="725"/>
      <c r="O187" s="725"/>
      <c r="P187" s="726"/>
      <c r="Q187" s="721" t="s">
        <v>3</v>
      </c>
      <c r="R187" s="722"/>
      <c r="S187" s="722"/>
      <c r="T187" s="722"/>
      <c r="U187" s="723"/>
      <c r="AG187" s="13"/>
    </row>
    <row r="188" spans="2:34" s="4" customFormat="1" ht="14.1" customHeight="1">
      <c r="B188" s="43"/>
      <c r="C188" s="159">
        <v>5</v>
      </c>
      <c r="D188" s="724" t="str">
        <f>IF(C12="English","4-aminodiphenyl",IF(C12="中文","4-氨基二苯基","4-アミノジフェニル"))</f>
        <v>4-アミノジフェニル</v>
      </c>
      <c r="E188" s="725"/>
      <c r="F188" s="725"/>
      <c r="G188" s="725"/>
      <c r="H188" s="725"/>
      <c r="I188" s="725"/>
      <c r="J188" s="725"/>
      <c r="K188" s="725"/>
      <c r="L188" s="725"/>
      <c r="M188" s="725"/>
      <c r="N188" s="725"/>
      <c r="O188" s="725"/>
      <c r="P188" s="726"/>
      <c r="Q188" s="721" t="s">
        <v>4</v>
      </c>
      <c r="R188" s="722"/>
      <c r="S188" s="722"/>
      <c r="T188" s="722"/>
      <c r="U188" s="723"/>
      <c r="AG188" s="13"/>
    </row>
    <row r="189" spans="2:34" s="4" customFormat="1" ht="14.1" customHeight="1">
      <c r="B189" s="43"/>
      <c r="C189" s="159">
        <v>6</v>
      </c>
      <c r="D189" s="724" t="str">
        <f>IF(C12="English","Benzidine",IF(C12="中文","联苯胺","ベンジジン"))</f>
        <v>ベンジジン</v>
      </c>
      <c r="E189" s="725"/>
      <c r="F189" s="725"/>
      <c r="G189" s="725"/>
      <c r="H189" s="725"/>
      <c r="I189" s="725"/>
      <c r="J189" s="725"/>
      <c r="K189" s="725"/>
      <c r="L189" s="725"/>
      <c r="M189" s="725"/>
      <c r="N189" s="725"/>
      <c r="O189" s="725"/>
      <c r="P189" s="726"/>
      <c r="Q189" s="721" t="s">
        <v>5</v>
      </c>
      <c r="R189" s="722"/>
      <c r="S189" s="722"/>
      <c r="T189" s="722"/>
      <c r="U189" s="723"/>
      <c r="AG189" s="13"/>
    </row>
    <row r="190" spans="2:34" s="4" customFormat="1" ht="14.1" customHeight="1">
      <c r="B190" s="43"/>
      <c r="C190" s="159">
        <v>7</v>
      </c>
      <c r="D190" s="724" t="str">
        <f>IF(C12="English","o-toluidine",IF(C12="中文","邻甲苯胺","o-トルイジン"))</f>
        <v>o-トルイジン</v>
      </c>
      <c r="E190" s="725"/>
      <c r="F190" s="725"/>
      <c r="G190" s="725"/>
      <c r="H190" s="725"/>
      <c r="I190" s="725"/>
      <c r="J190" s="725"/>
      <c r="K190" s="725"/>
      <c r="L190" s="725"/>
      <c r="M190" s="725"/>
      <c r="N190" s="725"/>
      <c r="O190" s="725"/>
      <c r="P190" s="726"/>
      <c r="Q190" s="721" t="s">
        <v>6</v>
      </c>
      <c r="R190" s="722"/>
      <c r="S190" s="722"/>
      <c r="T190" s="722"/>
      <c r="U190" s="723"/>
      <c r="AG190" s="13"/>
    </row>
    <row r="191" spans="2:34" s="4" customFormat="1" ht="14.1" customHeight="1">
      <c r="B191" s="43"/>
      <c r="C191" s="159">
        <v>8</v>
      </c>
      <c r="D191" s="724" t="str">
        <f>IF(C12="English","4-chloro-o-toluidine",IF(C12="中文","4-氯-邻-甲苯胺","4-クロロ-o-トルイジン"))</f>
        <v>4-クロロ-o-トルイジン</v>
      </c>
      <c r="E191" s="725"/>
      <c r="F191" s="725"/>
      <c r="G191" s="725"/>
      <c r="H191" s="725"/>
      <c r="I191" s="725"/>
      <c r="J191" s="725"/>
      <c r="K191" s="725"/>
      <c r="L191" s="725"/>
      <c r="M191" s="725"/>
      <c r="N191" s="725"/>
      <c r="O191" s="725"/>
      <c r="P191" s="726"/>
      <c r="Q191" s="721" t="s">
        <v>7</v>
      </c>
      <c r="R191" s="722"/>
      <c r="S191" s="722"/>
      <c r="T191" s="722"/>
      <c r="U191" s="723"/>
      <c r="AG191" s="13"/>
    </row>
    <row r="192" spans="2:34" s="4" customFormat="1" ht="14.1" customHeight="1">
      <c r="B192" s="43"/>
      <c r="C192" s="159">
        <v>9</v>
      </c>
      <c r="D192" s="724" t="str">
        <f>IF(C12="English","2,4-toluenediamine",IF(C12="中文","2,4-甲苯二胺","2, 4-トルエンジアミン"))</f>
        <v>2, 4-トルエンジアミン</v>
      </c>
      <c r="E192" s="725"/>
      <c r="F192" s="725"/>
      <c r="G192" s="725"/>
      <c r="H192" s="725"/>
      <c r="I192" s="725"/>
      <c r="J192" s="725"/>
      <c r="K192" s="725"/>
      <c r="L192" s="725"/>
      <c r="M192" s="725"/>
      <c r="N192" s="725"/>
      <c r="O192" s="725"/>
      <c r="P192" s="726"/>
      <c r="Q192" s="721" t="s">
        <v>8</v>
      </c>
      <c r="R192" s="722"/>
      <c r="S192" s="722"/>
      <c r="T192" s="722"/>
      <c r="U192" s="723"/>
      <c r="AG192" s="13"/>
    </row>
    <row r="193" spans="2:33" s="4" customFormat="1" ht="14.1" customHeight="1">
      <c r="B193" s="43"/>
      <c r="C193" s="159">
        <v>10</v>
      </c>
      <c r="D193" s="724" t="str">
        <f>IF(C12="English","o-aminoazotoluene",IF(C12="中文","邻氨基偶氮甲苯","o-アミノアゾトルエン"))</f>
        <v>o-アミノアゾトルエン</v>
      </c>
      <c r="E193" s="725"/>
      <c r="F193" s="725"/>
      <c r="G193" s="725"/>
      <c r="H193" s="725"/>
      <c r="I193" s="725"/>
      <c r="J193" s="725"/>
      <c r="K193" s="725"/>
      <c r="L193" s="725"/>
      <c r="M193" s="725"/>
      <c r="N193" s="725"/>
      <c r="O193" s="725"/>
      <c r="P193" s="726"/>
      <c r="Q193" s="721" t="s">
        <v>9</v>
      </c>
      <c r="R193" s="722"/>
      <c r="S193" s="722"/>
      <c r="T193" s="722"/>
      <c r="U193" s="723"/>
      <c r="AG193" s="13"/>
    </row>
    <row r="194" spans="2:33" s="4" customFormat="1" ht="14.1" customHeight="1">
      <c r="B194" s="43"/>
      <c r="C194" s="159">
        <v>11</v>
      </c>
      <c r="D194" s="724" t="str">
        <f>IF(C12="English","5-nitro-o-toluidine",IF(C12="中文","5-硝基邻甲苯胺","5-ニトロ-o-トルイジン"))</f>
        <v>5-ニトロ-o-トルイジン</v>
      </c>
      <c r="E194" s="725"/>
      <c r="F194" s="725"/>
      <c r="G194" s="725"/>
      <c r="H194" s="725"/>
      <c r="I194" s="725"/>
      <c r="J194" s="725"/>
      <c r="K194" s="725"/>
      <c r="L194" s="725"/>
      <c r="M194" s="725"/>
      <c r="N194" s="725"/>
      <c r="O194" s="725"/>
      <c r="P194" s="726"/>
      <c r="Q194" s="721" t="s">
        <v>10</v>
      </c>
      <c r="R194" s="722"/>
      <c r="S194" s="722"/>
      <c r="T194" s="722"/>
      <c r="U194" s="723"/>
      <c r="AG194" s="13"/>
    </row>
    <row r="195" spans="2:33" s="4" customFormat="1" ht="14.1" customHeight="1">
      <c r="B195" s="43"/>
      <c r="C195" s="159">
        <v>12</v>
      </c>
      <c r="D195" s="724" t="str">
        <f>IF(C12="English","4,4-methylene-bis-(2-chloroaniline)",IF(C12="中文","4,4'-亚甲基双（2-氯苯胺）","4, 4’-メチレン-ビス-（2-クロロアニリン）"))</f>
        <v>4, 4’-メチレン-ビス-（2-クロロアニリン）</v>
      </c>
      <c r="E195" s="725"/>
      <c r="F195" s="725"/>
      <c r="G195" s="725"/>
      <c r="H195" s="725"/>
      <c r="I195" s="725"/>
      <c r="J195" s="725"/>
      <c r="K195" s="725"/>
      <c r="L195" s="725"/>
      <c r="M195" s="725"/>
      <c r="N195" s="725"/>
      <c r="O195" s="725"/>
      <c r="P195" s="726"/>
      <c r="Q195" s="721" t="s">
        <v>11</v>
      </c>
      <c r="R195" s="722"/>
      <c r="S195" s="722"/>
      <c r="T195" s="722"/>
      <c r="U195" s="723"/>
      <c r="AG195" s="13"/>
    </row>
    <row r="196" spans="2:33" s="4" customFormat="1" ht="14.1" customHeight="1">
      <c r="B196" s="43"/>
      <c r="C196" s="159">
        <v>13</v>
      </c>
      <c r="D196" s="724" t="str">
        <f>IF(C12="English","4,4-diaminodiphenylmethane",IF(C12="中文","4,4'-二氨基二苯基甲烷","4, 4’-ジアミノジフェニルメタン"))</f>
        <v>4, 4’-ジアミノジフェニルメタン</v>
      </c>
      <c r="E196" s="725"/>
      <c r="F196" s="725"/>
      <c r="G196" s="725"/>
      <c r="H196" s="725"/>
      <c r="I196" s="725"/>
      <c r="J196" s="725"/>
      <c r="K196" s="725"/>
      <c r="L196" s="725"/>
      <c r="M196" s="725"/>
      <c r="N196" s="725"/>
      <c r="O196" s="725"/>
      <c r="P196" s="726"/>
      <c r="Q196" s="721" t="s">
        <v>12</v>
      </c>
      <c r="R196" s="722"/>
      <c r="S196" s="722"/>
      <c r="T196" s="722"/>
      <c r="U196" s="723"/>
      <c r="AG196" s="13"/>
    </row>
    <row r="197" spans="2:33" s="4" customFormat="1" ht="14.1" customHeight="1">
      <c r="B197" s="43"/>
      <c r="C197" s="159">
        <v>14</v>
      </c>
      <c r="D197" s="724" t="str">
        <f>IF(C12="English","4,4-oxydianiline",IF(C12="中文","4,4'-氧基二苯胺及其盐","4, 4’-オキシジアニリン"))</f>
        <v>4, 4’-オキシジアニリン</v>
      </c>
      <c r="E197" s="725"/>
      <c r="F197" s="725"/>
      <c r="G197" s="725"/>
      <c r="H197" s="725"/>
      <c r="I197" s="725"/>
      <c r="J197" s="725"/>
      <c r="K197" s="725"/>
      <c r="L197" s="725"/>
      <c r="M197" s="725"/>
      <c r="N197" s="725"/>
      <c r="O197" s="725"/>
      <c r="P197" s="726"/>
      <c r="Q197" s="721" t="s">
        <v>13</v>
      </c>
      <c r="R197" s="722"/>
      <c r="S197" s="722"/>
      <c r="T197" s="722"/>
      <c r="U197" s="723"/>
      <c r="AG197" s="13"/>
    </row>
    <row r="198" spans="2:33" s="4" customFormat="1" ht="14.1" customHeight="1">
      <c r="B198" s="43"/>
      <c r="C198" s="159">
        <v>15</v>
      </c>
      <c r="D198" s="724" t="str">
        <f>IF(C12="English","p-chloroaniline",IF(C12="中文","P-氯苯胺","p-クロロアニリン"))</f>
        <v>p-クロロアニリン</v>
      </c>
      <c r="E198" s="725"/>
      <c r="F198" s="725"/>
      <c r="G198" s="725"/>
      <c r="H198" s="725"/>
      <c r="I198" s="725"/>
      <c r="J198" s="725"/>
      <c r="K198" s="725"/>
      <c r="L198" s="725"/>
      <c r="M198" s="725"/>
      <c r="N198" s="725"/>
      <c r="O198" s="725"/>
      <c r="P198" s="726"/>
      <c r="Q198" s="721" t="s">
        <v>14</v>
      </c>
      <c r="R198" s="722"/>
      <c r="S198" s="722"/>
      <c r="T198" s="722"/>
      <c r="U198" s="723"/>
      <c r="AG198" s="13"/>
    </row>
    <row r="199" spans="2:33" s="4" customFormat="1" ht="14.1" customHeight="1">
      <c r="C199" s="159">
        <v>16</v>
      </c>
      <c r="D199" s="724" t="str">
        <f>IF(C12="English","3,3-dimethoxybenzidine",IF(C12="中文","3,3'-二甲氧基联苯胺","3, 3’-ジメトキシベンジジン"))</f>
        <v>3, 3’-ジメトキシベンジジン</v>
      </c>
      <c r="E199" s="725"/>
      <c r="F199" s="725"/>
      <c r="G199" s="725"/>
      <c r="H199" s="725"/>
      <c r="I199" s="725"/>
      <c r="J199" s="725"/>
      <c r="K199" s="725"/>
      <c r="L199" s="725"/>
      <c r="M199" s="725"/>
      <c r="N199" s="725"/>
      <c r="O199" s="725"/>
      <c r="P199" s="726"/>
      <c r="Q199" s="721" t="s">
        <v>15</v>
      </c>
      <c r="R199" s="722"/>
      <c r="S199" s="722"/>
      <c r="T199" s="722"/>
      <c r="U199" s="723"/>
      <c r="AG199" s="13"/>
    </row>
    <row r="200" spans="2:33" s="4" customFormat="1" ht="14.1" customHeight="1">
      <c r="C200" s="159">
        <v>17</v>
      </c>
      <c r="D200" s="724" t="str">
        <f>IF(C12="English","3,3-dimethylbenzidine",IF(C12="中文","3,3'-二甲基联苯胺","3, 3’-ジメチルベンジジン"))</f>
        <v>3, 3’-ジメチルベンジジン</v>
      </c>
      <c r="E200" s="725"/>
      <c r="F200" s="725"/>
      <c r="G200" s="725"/>
      <c r="H200" s="725"/>
      <c r="I200" s="725"/>
      <c r="J200" s="725"/>
      <c r="K200" s="725"/>
      <c r="L200" s="725"/>
      <c r="M200" s="725"/>
      <c r="N200" s="725"/>
      <c r="O200" s="725"/>
      <c r="P200" s="726"/>
      <c r="Q200" s="721" t="s">
        <v>16</v>
      </c>
      <c r="R200" s="722"/>
      <c r="S200" s="722"/>
      <c r="T200" s="722"/>
      <c r="U200" s="723"/>
      <c r="AG200" s="13"/>
    </row>
    <row r="201" spans="2:33" s="4" customFormat="1" ht="14.1" customHeight="1">
      <c r="C201" s="159">
        <v>18</v>
      </c>
      <c r="D201" s="724" t="str">
        <f>IF(C12="English","p-cresidine",IF(C12="中文","邻氨基对甲苯甲醚","p-クレシジン"))</f>
        <v>p-クレシジン</v>
      </c>
      <c r="E201" s="725"/>
      <c r="F201" s="725"/>
      <c r="G201" s="725"/>
      <c r="H201" s="725"/>
      <c r="I201" s="725"/>
      <c r="J201" s="725"/>
      <c r="K201" s="725"/>
      <c r="L201" s="725"/>
      <c r="M201" s="725"/>
      <c r="N201" s="725"/>
      <c r="O201" s="725"/>
      <c r="P201" s="726"/>
      <c r="Q201" s="721" t="s">
        <v>17</v>
      </c>
      <c r="R201" s="722"/>
      <c r="S201" s="722"/>
      <c r="T201" s="722"/>
      <c r="U201" s="723"/>
      <c r="AG201" s="13"/>
    </row>
    <row r="202" spans="2:33" s="4" customFormat="1" ht="14.1" customHeight="1">
      <c r="C202" s="159">
        <v>19</v>
      </c>
      <c r="D202" s="724" t="str">
        <f>IF(C12="English","2,4,5-trimethylaniline",IF(C12="中文","2,4,5-三甲基苯胺","2, 4, 5-トリメチルアニリン"))</f>
        <v>2, 4, 5-トリメチルアニリン</v>
      </c>
      <c r="E202" s="725"/>
      <c r="F202" s="725"/>
      <c r="G202" s="725"/>
      <c r="H202" s="725"/>
      <c r="I202" s="725"/>
      <c r="J202" s="725"/>
      <c r="K202" s="725"/>
      <c r="L202" s="725"/>
      <c r="M202" s="725"/>
      <c r="N202" s="725"/>
      <c r="O202" s="725"/>
      <c r="P202" s="726"/>
      <c r="Q202" s="721" t="s">
        <v>18</v>
      </c>
      <c r="R202" s="722"/>
      <c r="S202" s="722"/>
      <c r="T202" s="722"/>
      <c r="U202" s="723"/>
      <c r="AG202" s="13"/>
    </row>
    <row r="203" spans="2:33" s="4" customFormat="1" ht="14.1" customHeight="1">
      <c r="C203" s="159">
        <v>20</v>
      </c>
      <c r="D203" s="724" t="str">
        <f>IF(C12="English","4,4-thiodianiline",IF(C12="中文","4,4'-硫代二苯胺","4, 4’-チオジアニリン"))</f>
        <v>4, 4’-チオジアニリン</v>
      </c>
      <c r="E203" s="725"/>
      <c r="F203" s="725"/>
      <c r="G203" s="725"/>
      <c r="H203" s="725"/>
      <c r="I203" s="725"/>
      <c r="J203" s="725"/>
      <c r="K203" s="725"/>
      <c r="L203" s="725"/>
      <c r="M203" s="725"/>
      <c r="N203" s="725"/>
      <c r="O203" s="725"/>
      <c r="P203" s="726"/>
      <c r="Q203" s="721" t="s">
        <v>19</v>
      </c>
      <c r="R203" s="722"/>
      <c r="S203" s="722"/>
      <c r="T203" s="722"/>
      <c r="U203" s="723"/>
      <c r="AG203" s="13"/>
    </row>
    <row r="204" spans="2:33" s="4" customFormat="1" ht="14.1" customHeight="1">
      <c r="C204" s="159">
        <v>21</v>
      </c>
      <c r="D204" s="724" t="str">
        <f>IF(C12="English","2,4-diaminoanisole",IF(C12="中文","2,4-二氨基茴香醚","2, 4’-ジアミノアニソール"))</f>
        <v>2, 4’-ジアミノアニソール</v>
      </c>
      <c r="E204" s="725"/>
      <c r="F204" s="725"/>
      <c r="G204" s="725"/>
      <c r="H204" s="725"/>
      <c r="I204" s="725"/>
      <c r="J204" s="725"/>
      <c r="K204" s="725"/>
      <c r="L204" s="725"/>
      <c r="M204" s="725"/>
      <c r="N204" s="725"/>
      <c r="O204" s="725"/>
      <c r="P204" s="726"/>
      <c r="Q204" s="721" t="s">
        <v>20</v>
      </c>
      <c r="R204" s="722"/>
      <c r="S204" s="722"/>
      <c r="T204" s="722"/>
      <c r="U204" s="723"/>
      <c r="AG204" s="13"/>
    </row>
    <row r="205" spans="2:33" s="4" customFormat="1" ht="14.1" customHeight="1">
      <c r="C205" s="159">
        <v>22</v>
      </c>
      <c r="D205" s="724" t="str">
        <f>IF(C12="English","3,3-dimethyl-4,4-diaminodiphenylmethane",IF(C12="中文","3,3'-二甲基-4,4'-二氨基二苯基甲烷","3, 3’-ジメチル-4, 4’-ジアミノジフェニルメタン"))</f>
        <v>3, 3’-ジメチル-4, 4’-ジアミノジフェニルメタン</v>
      </c>
      <c r="E205" s="725"/>
      <c r="F205" s="725"/>
      <c r="G205" s="725"/>
      <c r="H205" s="725"/>
      <c r="I205" s="725"/>
      <c r="J205" s="725"/>
      <c r="K205" s="725"/>
      <c r="L205" s="725"/>
      <c r="M205" s="725"/>
      <c r="N205" s="725"/>
      <c r="O205" s="725"/>
      <c r="P205" s="726"/>
      <c r="Q205" s="721" t="s">
        <v>21</v>
      </c>
      <c r="R205" s="722"/>
      <c r="S205" s="722"/>
      <c r="T205" s="722"/>
      <c r="U205" s="723"/>
      <c r="AG205" s="13"/>
    </row>
    <row r="206" spans="2:33" s="4" customFormat="1" ht="14.1" customHeight="1">
      <c r="C206" s="45"/>
      <c r="D206" s="46"/>
      <c r="Q206" s="45"/>
      <c r="R206" s="13"/>
      <c r="S206" s="13"/>
      <c r="T206" s="13"/>
      <c r="U206" s="13"/>
      <c r="AG206" s="13"/>
    </row>
    <row r="207" spans="2:33" s="4" customFormat="1" ht="14.1" customHeight="1">
      <c r="C207" s="44" t="str">
        <f>IF(C12="English","(*2) PFOA-related substances",IF(C12="中文","(*2）PFOA相关物质","(*2）PFOA関連物質"))</f>
        <v>(*2）PFOA関連物質</v>
      </c>
      <c r="D207" s="46"/>
      <c r="Q207" s="45"/>
      <c r="R207" s="13"/>
      <c r="S207" s="13"/>
      <c r="T207" s="13"/>
      <c r="U207" s="13"/>
      <c r="AG207" s="13"/>
    </row>
    <row r="208" spans="2:33" s="4" customFormat="1" ht="45" customHeight="1">
      <c r="C208" s="39"/>
      <c r="D208" s="738" t="str">
        <f>IF(C12="English","All related substances including salts and polymers with linear or branched perfluoroheptyl (C7F15-)or perfluorooctyl (C8F17-) groups directly bonded to another carbon molecule.",IF(C12="中文","包含一个直链或支链氟代庚基基团，化学式为C7F15-，直接连接在另一个碳原子上，作为一个结构要素的相关物质（包括其盐类和聚合物）。包含一个直链或支链氟代辛基基团，化学式为C8F17-，作为一个结构要素的相关物质（包括其盐类和聚合物）。","別の炭素分子と直接結合する直鎖または分枝のパーフルオロヘプチル基(C7F15-)またはパーフルオロオクチル基(C8F17-)をもつ塩と重合体を含むすべての関連物質"))</f>
        <v>別の炭素分子と直接結合する直鎖または分枝のパーフルオロヘプチル基(C7F15-)またはパーフルオロオクチル基(C8F17-)をもつ塩と重合体を含むすべての関連物質</v>
      </c>
      <c r="E208" s="294"/>
      <c r="F208" s="294"/>
      <c r="G208" s="294"/>
      <c r="H208" s="294"/>
      <c r="I208" s="294"/>
      <c r="J208" s="294"/>
      <c r="K208" s="294"/>
      <c r="L208" s="294"/>
      <c r="M208" s="294"/>
      <c r="N208" s="294"/>
      <c r="O208" s="294"/>
      <c r="P208" s="294"/>
      <c r="Q208" s="294"/>
      <c r="R208" s="294"/>
      <c r="S208" s="294"/>
      <c r="T208" s="294"/>
      <c r="U208" s="294"/>
      <c r="V208" s="294"/>
      <c r="W208" s="294"/>
      <c r="X208" s="294"/>
      <c r="Y208" s="294"/>
      <c r="Z208" s="294"/>
      <c r="AA208" s="294"/>
      <c r="AB208" s="294"/>
      <c r="AC208" s="294"/>
      <c r="AD208" s="294"/>
      <c r="AE208" s="294"/>
      <c r="AG208" s="13"/>
    </row>
    <row r="209" spans="3:38" s="4" customFormat="1" ht="14.1" customHeight="1">
      <c r="C209" s="44" t="str">
        <f>IF(C12="English","(*3) halogenated diphenylmethane",IF(C12="中文","(*3) 卤代二苯甲烷","(*3) ハロゲン化ジフェニルメタン"))</f>
        <v>(*3) ハロゲン化ジフェニルメタン</v>
      </c>
      <c r="D209" s="46"/>
      <c r="Q209" s="45"/>
      <c r="R209" s="13"/>
      <c r="S209" s="13"/>
      <c r="T209" s="13"/>
      <c r="U209" s="13"/>
      <c r="AG209" s="13"/>
    </row>
    <row r="210" spans="3:38" s="4" customFormat="1" ht="14.1" customHeight="1">
      <c r="C210" s="40" t="s">
        <v>42</v>
      </c>
      <c r="D210" s="721" t="str">
        <f>IF(C12="English","Chemical substances",IF(C12="中文","化学物质名","化学物質名"))</f>
        <v>化学物質名</v>
      </c>
      <c r="E210" s="739"/>
      <c r="F210" s="739"/>
      <c r="G210" s="739"/>
      <c r="H210" s="739"/>
      <c r="I210" s="739"/>
      <c r="J210" s="739"/>
      <c r="K210" s="739"/>
      <c r="L210" s="739"/>
      <c r="M210" s="739"/>
      <c r="N210" s="739"/>
      <c r="O210" s="739"/>
      <c r="P210" s="739"/>
      <c r="Q210" s="739"/>
      <c r="R210" s="739"/>
      <c r="S210" s="739"/>
      <c r="T210" s="739"/>
      <c r="U210" s="740"/>
      <c r="V210" s="735" t="s">
        <v>41</v>
      </c>
      <c r="W210" s="736"/>
      <c r="X210" s="736"/>
      <c r="Y210" s="736"/>
      <c r="Z210" s="737"/>
      <c r="AL210" s="13"/>
    </row>
    <row r="211" spans="3:38" s="4" customFormat="1" ht="14.1" customHeight="1">
      <c r="C211" s="40">
        <v>1</v>
      </c>
      <c r="D211" s="734" t="str">
        <f>IF(C12="English","Monomethyl-tetrachloro-diphenyl methane (Ugilec 141)",IF(C12="中文","四氯二苯甲烷单甲基酯 (Ugilec 141)","モノメチルテトラクロロジフェニルメタン (Ugilec 141)"))</f>
        <v>モノメチルテトラクロロジフェニルメタン (Ugilec 141)</v>
      </c>
      <c r="E211" s="639"/>
      <c r="F211" s="639"/>
      <c r="G211" s="639"/>
      <c r="H211" s="639"/>
      <c r="I211" s="639"/>
      <c r="J211" s="639"/>
      <c r="K211" s="639"/>
      <c r="L211" s="639"/>
      <c r="M211" s="639"/>
      <c r="N211" s="639"/>
      <c r="O211" s="639"/>
      <c r="P211" s="639"/>
      <c r="Q211" s="639"/>
      <c r="R211" s="639"/>
      <c r="S211" s="639"/>
      <c r="T211" s="639"/>
      <c r="U211" s="640"/>
      <c r="V211" s="735" t="s">
        <v>40</v>
      </c>
      <c r="W211" s="736"/>
      <c r="X211" s="736"/>
      <c r="Y211" s="736"/>
      <c r="Z211" s="737"/>
      <c r="AL211" s="13"/>
    </row>
    <row r="212" spans="3:38" s="4" customFormat="1" ht="14.1" customHeight="1">
      <c r="C212" s="40">
        <v>2</v>
      </c>
      <c r="D212" s="734" t="str">
        <f>IF(C12="English","Monomethyl-dichloro-diphenyl methane (Ugilec 121, Ugilec 21)",IF(C12="中文","单二氯二苯基甲烷 (Ugilec 121, Ugilec 21)","モノメチルジクロロジフェニルメタン 
(Ugilec 121, Ugilec 21)
"))</f>
        <v xml:space="preserve">モノメチルジクロロジフェニルメタン 
(Ugilec 121, Ugilec 21)
</v>
      </c>
      <c r="E212" s="639"/>
      <c r="F212" s="639"/>
      <c r="G212" s="639"/>
      <c r="H212" s="639"/>
      <c r="I212" s="639"/>
      <c r="J212" s="639"/>
      <c r="K212" s="639"/>
      <c r="L212" s="639"/>
      <c r="M212" s="639"/>
      <c r="N212" s="639"/>
      <c r="O212" s="639"/>
      <c r="P212" s="639"/>
      <c r="Q212" s="639"/>
      <c r="R212" s="639"/>
      <c r="S212" s="639"/>
      <c r="T212" s="639"/>
      <c r="U212" s="640"/>
      <c r="V212" s="735" t="s">
        <v>22</v>
      </c>
      <c r="W212" s="736"/>
      <c r="X212" s="736"/>
      <c r="Y212" s="736"/>
      <c r="Z212" s="737"/>
      <c r="AL212" s="13"/>
    </row>
    <row r="213" spans="3:38" s="4" customFormat="1" ht="14.1" customHeight="1">
      <c r="C213" s="40">
        <v>3</v>
      </c>
      <c r="D213" s="734" t="str">
        <f>IF(C12="English","Monomethyl-dibromo-diphenyl methane (DBBT)",IF(C12="中文","单甲基二溴二苯基甲烷 (DBBT)","モノメチルジブロモジフェニルメタン (DBBT)"))</f>
        <v>モノメチルジブロモジフェニルメタン (DBBT)</v>
      </c>
      <c r="E213" s="639"/>
      <c r="F213" s="639"/>
      <c r="G213" s="639"/>
      <c r="H213" s="639"/>
      <c r="I213" s="639"/>
      <c r="J213" s="639"/>
      <c r="K213" s="639"/>
      <c r="L213" s="639"/>
      <c r="M213" s="639"/>
      <c r="N213" s="639"/>
      <c r="O213" s="639"/>
      <c r="P213" s="639"/>
      <c r="Q213" s="639"/>
      <c r="R213" s="639"/>
      <c r="S213" s="639"/>
      <c r="T213" s="639"/>
      <c r="U213" s="640"/>
      <c r="V213" s="735" t="s">
        <v>23</v>
      </c>
      <c r="W213" s="736"/>
      <c r="X213" s="736"/>
      <c r="Y213" s="736"/>
      <c r="Z213" s="737"/>
      <c r="AL213" s="13"/>
    </row>
  </sheetData>
  <mergeCells count="438">
    <mergeCell ref="D211:U211"/>
    <mergeCell ref="V211:Z211"/>
    <mergeCell ref="D212:U212"/>
    <mergeCell ref="V212:Z212"/>
    <mergeCell ref="D213:U213"/>
    <mergeCell ref="V213:Z213"/>
    <mergeCell ref="D204:P204"/>
    <mergeCell ref="Q204:U204"/>
    <mergeCell ref="D205:P205"/>
    <mergeCell ref="Q205:U205"/>
    <mergeCell ref="D208:AE208"/>
    <mergeCell ref="D210:U210"/>
    <mergeCell ref="V210:Z210"/>
    <mergeCell ref="D201:P201"/>
    <mergeCell ref="Q201:U201"/>
    <mergeCell ref="D202:P202"/>
    <mergeCell ref="Q202:U202"/>
    <mergeCell ref="D203:P203"/>
    <mergeCell ref="Q203:U203"/>
    <mergeCell ref="D198:P198"/>
    <mergeCell ref="Q198:U198"/>
    <mergeCell ref="D199:P199"/>
    <mergeCell ref="Q199:U199"/>
    <mergeCell ref="D200:P200"/>
    <mergeCell ref="Q200:U200"/>
    <mergeCell ref="D195:P195"/>
    <mergeCell ref="Q195:U195"/>
    <mergeCell ref="D196:P196"/>
    <mergeCell ref="Q196:U196"/>
    <mergeCell ref="D197:P197"/>
    <mergeCell ref="Q197:U197"/>
    <mergeCell ref="D192:P192"/>
    <mergeCell ref="Q192:U192"/>
    <mergeCell ref="D193:P193"/>
    <mergeCell ref="Q193:U193"/>
    <mergeCell ref="D194:P194"/>
    <mergeCell ref="Q194:U194"/>
    <mergeCell ref="D189:P189"/>
    <mergeCell ref="Q189:U189"/>
    <mergeCell ref="D190:P190"/>
    <mergeCell ref="Q190:U190"/>
    <mergeCell ref="D191:P191"/>
    <mergeCell ref="Q191:U191"/>
    <mergeCell ref="D186:P186"/>
    <mergeCell ref="Q186:U186"/>
    <mergeCell ref="D187:P187"/>
    <mergeCell ref="Q187:U187"/>
    <mergeCell ref="D188:P188"/>
    <mergeCell ref="Q188:U188"/>
    <mergeCell ref="D183:P183"/>
    <mergeCell ref="Q183:U183"/>
    <mergeCell ref="D184:P184"/>
    <mergeCell ref="Q184:U184"/>
    <mergeCell ref="D185:P185"/>
    <mergeCell ref="Q185:U185"/>
    <mergeCell ref="C178:C180"/>
    <mergeCell ref="D178:P180"/>
    <mergeCell ref="Q178:AB178"/>
    <mergeCell ref="AC178:AE180"/>
    <mergeCell ref="Q179:AB179"/>
    <mergeCell ref="Q180:AB180"/>
    <mergeCell ref="D176:P176"/>
    <mergeCell ref="Q176:W176"/>
    <mergeCell ref="X176:AB176"/>
    <mergeCell ref="AC176:AE176"/>
    <mergeCell ref="D177:P177"/>
    <mergeCell ref="Q177:W177"/>
    <mergeCell ref="X177:AB177"/>
    <mergeCell ref="AC177:AE177"/>
    <mergeCell ref="D169:P169"/>
    <mergeCell ref="Q169:W169"/>
    <mergeCell ref="X169:AB169"/>
    <mergeCell ref="AC169:AE169"/>
    <mergeCell ref="D175:P175"/>
    <mergeCell ref="Q175:W175"/>
    <mergeCell ref="X175:AB175"/>
    <mergeCell ref="AC175:AE175"/>
    <mergeCell ref="D167:P167"/>
    <mergeCell ref="Q167:W167"/>
    <mergeCell ref="X167:AB167"/>
    <mergeCell ref="AC167:AE167"/>
    <mergeCell ref="D168:P168"/>
    <mergeCell ref="Q168:W168"/>
    <mergeCell ref="X168:AB168"/>
    <mergeCell ref="AC168:AE168"/>
    <mergeCell ref="D165:P165"/>
    <mergeCell ref="Q165:W165"/>
    <mergeCell ref="X165:AB165"/>
    <mergeCell ref="AC165:AE165"/>
    <mergeCell ref="D166:P166"/>
    <mergeCell ref="Q166:W166"/>
    <mergeCell ref="X166:AB166"/>
    <mergeCell ref="AC166:AE166"/>
    <mergeCell ref="D163:P163"/>
    <mergeCell ref="Q163:W163"/>
    <mergeCell ref="X163:AB163"/>
    <mergeCell ref="AC163:AE163"/>
    <mergeCell ref="D164:P164"/>
    <mergeCell ref="Q164:W164"/>
    <mergeCell ref="X164:AB164"/>
    <mergeCell ref="AC164:AE164"/>
    <mergeCell ref="D161:P161"/>
    <mergeCell ref="Q161:W161"/>
    <mergeCell ref="X161:AB161"/>
    <mergeCell ref="AC161:AE161"/>
    <mergeCell ref="D162:P162"/>
    <mergeCell ref="Q162:W162"/>
    <mergeCell ref="X162:AB162"/>
    <mergeCell ref="AC162:AE162"/>
    <mergeCell ref="D159:P159"/>
    <mergeCell ref="Q159:W159"/>
    <mergeCell ref="X159:AB159"/>
    <mergeCell ref="AC159:AE159"/>
    <mergeCell ref="D160:P160"/>
    <mergeCell ref="Q160:W160"/>
    <mergeCell ref="X160:AB160"/>
    <mergeCell ref="AC160:AE160"/>
    <mergeCell ref="C144:C152"/>
    <mergeCell ref="D157:P157"/>
    <mergeCell ref="Q157:W157"/>
    <mergeCell ref="X157:AB157"/>
    <mergeCell ref="AC157:AE157"/>
    <mergeCell ref="D158:P158"/>
    <mergeCell ref="Q158:W158"/>
    <mergeCell ref="X158:AB158"/>
    <mergeCell ref="AC158:AE158"/>
    <mergeCell ref="Q155:W155"/>
    <mergeCell ref="X155:AB155"/>
    <mergeCell ref="D156:P156"/>
    <mergeCell ref="Q156:W156"/>
    <mergeCell ref="X156:AB156"/>
    <mergeCell ref="AC156:AE156"/>
    <mergeCell ref="D153:P153"/>
    <mergeCell ref="Q153:W153"/>
    <mergeCell ref="X153:AB153"/>
    <mergeCell ref="AC153:AE153"/>
    <mergeCell ref="C154:C155"/>
    <mergeCell ref="D154:P155"/>
    <mergeCell ref="Q154:W154"/>
    <mergeCell ref="X154:AB154"/>
    <mergeCell ref="AC154:AE155"/>
    <mergeCell ref="D149:P149"/>
    <mergeCell ref="Q149:W152"/>
    <mergeCell ref="X149:Y152"/>
    <mergeCell ref="Z149:AB152"/>
    <mergeCell ref="AC149:AE149"/>
    <mergeCell ref="D150:P150"/>
    <mergeCell ref="AC150:AE150"/>
    <mergeCell ref="D151:P151"/>
    <mergeCell ref="AC151:AE151"/>
    <mergeCell ref="D152:P152"/>
    <mergeCell ref="AC152:AE152"/>
    <mergeCell ref="AC145:AE145"/>
    <mergeCell ref="D146:P146"/>
    <mergeCell ref="AC146:AE146"/>
    <mergeCell ref="D147:P147"/>
    <mergeCell ref="AC147:AE147"/>
    <mergeCell ref="D148:P148"/>
    <mergeCell ref="AC148:AE148"/>
    <mergeCell ref="D135:P135"/>
    <mergeCell ref="Q135:W135"/>
    <mergeCell ref="X135:AB135"/>
    <mergeCell ref="AC135:AE135"/>
    <mergeCell ref="D144:P144"/>
    <mergeCell ref="Q144:W148"/>
    <mergeCell ref="X144:AB148"/>
    <mergeCell ref="AC144:AE144"/>
    <mergeCell ref="D145:P145"/>
    <mergeCell ref="D133:P133"/>
    <mergeCell ref="Q133:W133"/>
    <mergeCell ref="X133:AB133"/>
    <mergeCell ref="AC133:AE133"/>
    <mergeCell ref="D134:P134"/>
    <mergeCell ref="Q134:W134"/>
    <mergeCell ref="X134:AB134"/>
    <mergeCell ref="AC134:AE134"/>
    <mergeCell ref="D131:P131"/>
    <mergeCell ref="Q131:W131"/>
    <mergeCell ref="X131:AB131"/>
    <mergeCell ref="AC131:AE131"/>
    <mergeCell ref="D132:P132"/>
    <mergeCell ref="Q132:W132"/>
    <mergeCell ref="X132:AB132"/>
    <mergeCell ref="AC132:AE132"/>
    <mergeCell ref="D129:P129"/>
    <mergeCell ref="Q129:W129"/>
    <mergeCell ref="X129:AB129"/>
    <mergeCell ref="AC129:AE129"/>
    <mergeCell ref="D130:P130"/>
    <mergeCell ref="Q130:W130"/>
    <mergeCell ref="X130:AB130"/>
    <mergeCell ref="AC130:AE130"/>
    <mergeCell ref="D127:P127"/>
    <mergeCell ref="Q127:W127"/>
    <mergeCell ref="X127:AB127"/>
    <mergeCell ref="AC127:AE127"/>
    <mergeCell ref="D128:P128"/>
    <mergeCell ref="Q128:W128"/>
    <mergeCell ref="X128:AB128"/>
    <mergeCell ref="AC128:AE128"/>
    <mergeCell ref="D125:P125"/>
    <mergeCell ref="Q125:W125"/>
    <mergeCell ref="X125:AB125"/>
    <mergeCell ref="AC125:AE125"/>
    <mergeCell ref="D126:P126"/>
    <mergeCell ref="Q126:W126"/>
    <mergeCell ref="X126:AB126"/>
    <mergeCell ref="AC126:AE126"/>
    <mergeCell ref="D123:P123"/>
    <mergeCell ref="Q123:W123"/>
    <mergeCell ref="X123:AB123"/>
    <mergeCell ref="AC123:AE123"/>
    <mergeCell ref="D124:P124"/>
    <mergeCell ref="Q124:W124"/>
    <mergeCell ref="X124:AB124"/>
    <mergeCell ref="AC124:AE124"/>
    <mergeCell ref="D120:P120"/>
    <mergeCell ref="Q120:W120"/>
    <mergeCell ref="X120:AB120"/>
    <mergeCell ref="AC120:AE120"/>
    <mergeCell ref="D122:P122"/>
    <mergeCell ref="Q122:W122"/>
    <mergeCell ref="X122:AB122"/>
    <mergeCell ref="AC122:AE122"/>
    <mergeCell ref="D118:P118"/>
    <mergeCell ref="Q118:W118"/>
    <mergeCell ref="X118:AB118"/>
    <mergeCell ref="AC118:AE118"/>
    <mergeCell ref="D119:P119"/>
    <mergeCell ref="Q119:W119"/>
    <mergeCell ref="X119:AB119"/>
    <mergeCell ref="AC119:AE119"/>
    <mergeCell ref="D116:P116"/>
    <mergeCell ref="Q116:W116"/>
    <mergeCell ref="X116:AB116"/>
    <mergeCell ref="AC116:AE116"/>
    <mergeCell ref="D117:P117"/>
    <mergeCell ref="Q117:W117"/>
    <mergeCell ref="X117:AB117"/>
    <mergeCell ref="AC117:AE117"/>
    <mergeCell ref="D114:P114"/>
    <mergeCell ref="Q114:W114"/>
    <mergeCell ref="X114:AB114"/>
    <mergeCell ref="AC114:AE114"/>
    <mergeCell ref="D115:P115"/>
    <mergeCell ref="Q115:W115"/>
    <mergeCell ref="X115:AB115"/>
    <mergeCell ref="AC115:AE115"/>
    <mergeCell ref="D112:P112"/>
    <mergeCell ref="Q112:W112"/>
    <mergeCell ref="X112:AB112"/>
    <mergeCell ref="AC112:AE112"/>
    <mergeCell ref="D113:P113"/>
    <mergeCell ref="Q113:W113"/>
    <mergeCell ref="X113:AB113"/>
    <mergeCell ref="AC113:AE113"/>
    <mergeCell ref="D110:P110"/>
    <mergeCell ref="Q110:W110"/>
    <mergeCell ref="X110:AB110"/>
    <mergeCell ref="AC110:AE110"/>
    <mergeCell ref="D111:P111"/>
    <mergeCell ref="Q111:W111"/>
    <mergeCell ref="X111:AB111"/>
    <mergeCell ref="AC111:AE111"/>
    <mergeCell ref="AC108:AE108"/>
    <mergeCell ref="D109:P109"/>
    <mergeCell ref="Q109:W109"/>
    <mergeCell ref="X109:AB109"/>
    <mergeCell ref="AC109:AE109"/>
    <mergeCell ref="AC102:AE102"/>
    <mergeCell ref="D103:P103"/>
    <mergeCell ref="Q103:W105"/>
    <mergeCell ref="X103:AB105"/>
    <mergeCell ref="AC103:AE105"/>
    <mergeCell ref="D104:P104"/>
    <mergeCell ref="D105:P105"/>
    <mergeCell ref="C102:C105"/>
    <mergeCell ref="D102:P102"/>
    <mergeCell ref="Q102:W102"/>
    <mergeCell ref="X102:AB102"/>
    <mergeCell ref="C97:C101"/>
    <mergeCell ref="D97:P97"/>
    <mergeCell ref="Q97:W97"/>
    <mergeCell ref="X97:AB97"/>
    <mergeCell ref="D108:P108"/>
    <mergeCell ref="Q108:W108"/>
    <mergeCell ref="X108:AB108"/>
    <mergeCell ref="C92:C96"/>
    <mergeCell ref="D92:P92"/>
    <mergeCell ref="Q92:W92"/>
    <mergeCell ref="X92:AB92"/>
    <mergeCell ref="AC92:AE92"/>
    <mergeCell ref="D93:P93"/>
    <mergeCell ref="Q93:W96"/>
    <mergeCell ref="AC97:AE97"/>
    <mergeCell ref="D98:P98"/>
    <mergeCell ref="Q98:W101"/>
    <mergeCell ref="X98:AB101"/>
    <mergeCell ref="AC98:AE101"/>
    <mergeCell ref="D99:P99"/>
    <mergeCell ref="X93:AB96"/>
    <mergeCell ref="AC93:AE93"/>
    <mergeCell ref="D94:P94"/>
    <mergeCell ref="AC94:AE94"/>
    <mergeCell ref="D95:P95"/>
    <mergeCell ref="AC95:AE95"/>
    <mergeCell ref="D96:P96"/>
    <mergeCell ref="AC96:AE96"/>
    <mergeCell ref="D100:P100"/>
    <mergeCell ref="D101:P101"/>
    <mergeCell ref="X89:AB89"/>
    <mergeCell ref="C90:C91"/>
    <mergeCell ref="D90:P91"/>
    <mergeCell ref="Q90:W90"/>
    <mergeCell ref="X90:AB90"/>
    <mergeCell ref="D85:P85"/>
    <mergeCell ref="X85:AB85"/>
    <mergeCell ref="AC90:AE91"/>
    <mergeCell ref="Q91:W91"/>
    <mergeCell ref="X91:AB91"/>
    <mergeCell ref="C81:C84"/>
    <mergeCell ref="D81:P81"/>
    <mergeCell ref="X81:AB81"/>
    <mergeCell ref="C76:C80"/>
    <mergeCell ref="D76:P76"/>
    <mergeCell ref="Q76:W89"/>
    <mergeCell ref="X76:AB76"/>
    <mergeCell ref="AC85:AE85"/>
    <mergeCell ref="C86:C88"/>
    <mergeCell ref="D86:P86"/>
    <mergeCell ref="X86:AB86"/>
    <mergeCell ref="AC86:AE89"/>
    <mergeCell ref="D87:P87"/>
    <mergeCell ref="X87:AB87"/>
    <mergeCell ref="D88:P88"/>
    <mergeCell ref="AC81:AE84"/>
    <mergeCell ref="D82:P82"/>
    <mergeCell ref="X82:AB82"/>
    <mergeCell ref="D83:P83"/>
    <mergeCell ref="X83:AB83"/>
    <mergeCell ref="D84:P84"/>
    <mergeCell ref="X84:AB84"/>
    <mergeCell ref="X88:AB88"/>
    <mergeCell ref="D89:P89"/>
    <mergeCell ref="AC76:AE80"/>
    <mergeCell ref="D77:P77"/>
    <mergeCell ref="X77:AB77"/>
    <mergeCell ref="D78:P78"/>
    <mergeCell ref="X78:AB78"/>
    <mergeCell ref="D79:P79"/>
    <mergeCell ref="D69:H69"/>
    <mergeCell ref="I69:Q69"/>
    <mergeCell ref="R69:X69"/>
    <mergeCell ref="Y69:AE69"/>
    <mergeCell ref="Z71:AE71"/>
    <mergeCell ref="D75:P75"/>
    <mergeCell ref="Q75:W75"/>
    <mergeCell ref="X75:AB75"/>
    <mergeCell ref="AC75:AE75"/>
    <mergeCell ref="X79:AB79"/>
    <mergeCell ref="D80:P80"/>
    <mergeCell ref="X80:AB80"/>
    <mergeCell ref="D67:H67"/>
    <mergeCell ref="I67:Q67"/>
    <mergeCell ref="R67:X67"/>
    <mergeCell ref="Y67:AE67"/>
    <mergeCell ref="D68:H68"/>
    <mergeCell ref="I68:Q68"/>
    <mergeCell ref="R68:X68"/>
    <mergeCell ref="Y68:AE68"/>
    <mergeCell ref="D65:H65"/>
    <mergeCell ref="I65:Q65"/>
    <mergeCell ref="R65:X65"/>
    <mergeCell ref="Y65:AE65"/>
    <mergeCell ref="D66:H66"/>
    <mergeCell ref="I66:Q66"/>
    <mergeCell ref="R66:X66"/>
    <mergeCell ref="Y66:AE66"/>
    <mergeCell ref="C61:AE61"/>
    <mergeCell ref="C62:AE62"/>
    <mergeCell ref="C63:AE63"/>
    <mergeCell ref="D64:H64"/>
    <mergeCell ref="I64:Q64"/>
    <mergeCell ref="R64:X64"/>
    <mergeCell ref="Y64:AE64"/>
    <mergeCell ref="C54:D54"/>
    <mergeCell ref="E54:AE54"/>
    <mergeCell ref="C57:D57"/>
    <mergeCell ref="E57:AE57"/>
    <mergeCell ref="C59:D59"/>
    <mergeCell ref="E59:AE59"/>
    <mergeCell ref="C51:G51"/>
    <mergeCell ref="H51:P51"/>
    <mergeCell ref="R51:V51"/>
    <mergeCell ref="W51:AE51"/>
    <mergeCell ref="C52:G52"/>
    <mergeCell ref="H52:P52"/>
    <mergeCell ref="R52:V52"/>
    <mergeCell ref="W52:AE52"/>
    <mergeCell ref="B46:AE46"/>
    <mergeCell ref="B47:Z47"/>
    <mergeCell ref="C50:G50"/>
    <mergeCell ref="H50:P50"/>
    <mergeCell ref="R50:V50"/>
    <mergeCell ref="W50:AE50"/>
    <mergeCell ref="B31:G31"/>
    <mergeCell ref="H31:P31"/>
    <mergeCell ref="Q31:V31"/>
    <mergeCell ref="W31:AC31"/>
    <mergeCell ref="B33:AE42"/>
    <mergeCell ref="B44:AF44"/>
    <mergeCell ref="B29:G29"/>
    <mergeCell ref="H29:P29"/>
    <mergeCell ref="Q29:V29"/>
    <mergeCell ref="W29:AE29"/>
    <mergeCell ref="B30:G30"/>
    <mergeCell ref="H30:P30"/>
    <mergeCell ref="Q30:V30"/>
    <mergeCell ref="W30:AE30"/>
    <mergeCell ref="B28:G28"/>
    <mergeCell ref="H28:P28"/>
    <mergeCell ref="Q28:V28"/>
    <mergeCell ref="W28:AE28"/>
    <mergeCell ref="A19:AE19"/>
    <mergeCell ref="Z20:AE20"/>
    <mergeCell ref="B21:AE22"/>
    <mergeCell ref="C23:V23"/>
    <mergeCell ref="X23:AE23"/>
    <mergeCell ref="B24:O24"/>
    <mergeCell ref="B3:AE3"/>
    <mergeCell ref="C5:H5"/>
    <mergeCell ref="B9:AD9"/>
    <mergeCell ref="C12:Z12"/>
    <mergeCell ref="B14:AD14"/>
    <mergeCell ref="C15:AD15"/>
    <mergeCell ref="B25:O25"/>
    <mergeCell ref="B26:G26"/>
    <mergeCell ref="U26:AE26"/>
  </mergeCells>
  <phoneticPr fontId="2"/>
  <dataValidations count="5">
    <dataValidation type="list" allowBlank="1" showInputMessage="1" showErrorMessage="1" sqref="C12:Z12">
      <formula1>$AH$10:$AH$12</formula1>
    </dataValidation>
    <dataValidation type="list" allowBlank="1" showInputMessage="1" showErrorMessage="1" sqref="C5:H5">
      <formula1>$AH$5:$AH$6</formula1>
    </dataValidation>
    <dataValidation type="list" allowBlank="1" showInputMessage="1" showErrorMessage="1" sqref="C6:F6">
      <formula1>$AH$6:$AH$6</formula1>
    </dataValidation>
    <dataValidation allowBlank="1" showInputMessage="1" sqref="AC144:AE144"/>
    <dataValidation type="list" allowBlank="1" showInputMessage="1" sqref="AC76:AD76 AC81:AD81 AC98:AD101 AC103:AD103 AC93:AD96 G182 AC108:AD143 AC90:AD90 AC85:AD86 AC145:AD154 AC106:AD106 AC156:AD178">
      <formula1>"○"</formula1>
    </dataValidation>
  </dataValidations>
  <hyperlinks>
    <hyperlink ref="C63" r:id="rId1"/>
    <hyperlink ref="B47" r:id="rId2"/>
  </hyperlinks>
  <pageMargins left="0.39370078740157483" right="0.19685039370078741" top="0.59055118110236227" bottom="0.39370078740157483" header="0.19685039370078741" footer="0.19685039370078741"/>
  <pageSetup paperSize="9" orientation="portrait" cellComments="asDisplayed" r:id="rId3"/>
  <headerFooter>
    <oddHeader>&amp;R&amp;P page</oddHeader>
    <oddFooter>&amp;C&amp;"ＭＳ ゴシック,標準"&amp;9MinebeaMitsumi Inc.</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1516" r:id="rId6" name="Check Box 12">
              <controlPr defaultSize="0" autoFill="0" autoLine="0" autoPict="0">
                <anchor moveWithCells="1">
                  <from>
                    <xdr:col>2</xdr:col>
                    <xdr:colOff>129540</xdr:colOff>
                    <xdr:row>52</xdr:row>
                    <xdr:rowOff>106680</xdr:rowOff>
                  </from>
                  <to>
                    <xdr:col>5</xdr:col>
                    <xdr:colOff>190500</xdr:colOff>
                    <xdr:row>54</xdr:row>
                    <xdr:rowOff>30480</xdr:rowOff>
                  </to>
                </anchor>
              </controlPr>
            </control>
          </mc:Choice>
        </mc:AlternateContent>
        <mc:AlternateContent xmlns:mc="http://schemas.openxmlformats.org/markup-compatibility/2006">
          <mc:Choice Requires="x14">
            <control shapeId="21517" r:id="rId7" name="Check Box 13">
              <controlPr defaultSize="0" autoFill="0" autoLine="0" autoPict="0">
                <anchor moveWithCells="1">
                  <from>
                    <xdr:col>2</xdr:col>
                    <xdr:colOff>129540</xdr:colOff>
                    <xdr:row>55</xdr:row>
                    <xdr:rowOff>182880</xdr:rowOff>
                  </from>
                  <to>
                    <xdr:col>5</xdr:col>
                    <xdr:colOff>205740</xdr:colOff>
                    <xdr:row>57</xdr:row>
                    <xdr:rowOff>30480</xdr:rowOff>
                  </to>
                </anchor>
              </controlPr>
            </control>
          </mc:Choice>
        </mc:AlternateContent>
        <mc:AlternateContent xmlns:mc="http://schemas.openxmlformats.org/markup-compatibility/2006">
          <mc:Choice Requires="x14">
            <control shapeId="21518" r:id="rId8" name="Check Box 14">
              <controlPr defaultSize="0" autoFill="0" autoLine="0" autoPict="0">
                <anchor moveWithCells="1">
                  <from>
                    <xdr:col>2</xdr:col>
                    <xdr:colOff>129540</xdr:colOff>
                    <xdr:row>57</xdr:row>
                    <xdr:rowOff>106680</xdr:rowOff>
                  </from>
                  <to>
                    <xdr:col>5</xdr:col>
                    <xdr:colOff>190500</xdr:colOff>
                    <xdr:row>59</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2:BK213"/>
  <sheetViews>
    <sheetView showGridLines="0" zoomScaleNormal="100" zoomScaleSheetLayoutView="100" workbookViewId="0"/>
  </sheetViews>
  <sheetFormatPr defaultColWidth="9" defaultRowHeight="15.6"/>
  <cols>
    <col min="1" max="1" width="1.109375" style="153" customWidth="1"/>
    <col min="2" max="28" width="3.109375" style="153" customWidth="1"/>
    <col min="29" max="29" width="5.6640625" style="153" customWidth="1"/>
    <col min="30" max="31" width="3.109375" style="153" customWidth="1"/>
    <col min="32" max="32" width="1.109375" style="153" customWidth="1"/>
    <col min="33" max="33" width="5.6640625" style="3" customWidth="1"/>
    <col min="34" max="36" width="5.6640625" style="153" hidden="1" customWidth="1"/>
    <col min="37" max="40" width="5.6640625" style="153" customWidth="1"/>
    <col min="41" max="63" width="9" style="153" customWidth="1"/>
    <col min="64" max="16384" width="9" style="153"/>
  </cols>
  <sheetData>
    <row r="2" spans="1:39">
      <c r="B2" s="175" t="s">
        <v>48</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7"/>
    </row>
    <row r="3" spans="1:39" s="130" customFormat="1" ht="30" customHeight="1">
      <c r="B3" s="295" t="s">
        <v>80</v>
      </c>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7"/>
      <c r="AG3" s="131"/>
    </row>
    <row r="4" spans="1:39" s="130" customFormat="1" ht="9" customHeight="1" thickBot="1">
      <c r="B4" s="132"/>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9"/>
      <c r="AG4" s="131"/>
    </row>
    <row r="5" spans="1:39" ht="25.5" customHeight="1" thickBot="1">
      <c r="B5" s="133"/>
      <c r="C5" s="298" t="s">
        <v>43</v>
      </c>
      <c r="D5" s="299"/>
      <c r="E5" s="299"/>
      <c r="F5" s="299"/>
      <c r="G5" s="299"/>
      <c r="H5" s="300"/>
      <c r="I5" s="3"/>
      <c r="J5" s="3"/>
      <c r="K5" s="3"/>
      <c r="L5" s="3"/>
      <c r="M5" s="3"/>
      <c r="N5" s="3"/>
      <c r="O5" s="3"/>
      <c r="P5" s="3"/>
      <c r="Q5" s="3"/>
      <c r="R5" s="3"/>
      <c r="S5" s="3"/>
      <c r="T5" s="3"/>
      <c r="U5" s="3"/>
      <c r="V5" s="3"/>
      <c r="W5" s="3"/>
      <c r="X5" s="3"/>
      <c r="Y5" s="3"/>
      <c r="Z5" s="3"/>
      <c r="AA5" s="3"/>
      <c r="AB5" s="3"/>
      <c r="AC5" s="3"/>
      <c r="AD5" s="3"/>
      <c r="AE5" s="134"/>
      <c r="AH5" s="153" t="s">
        <v>43</v>
      </c>
    </row>
    <row r="6" spans="1:39">
      <c r="B6" s="135"/>
      <c r="C6" s="136"/>
      <c r="D6" s="180"/>
      <c r="E6" s="180"/>
      <c r="F6" s="180"/>
      <c r="G6" s="136"/>
      <c r="H6" s="136"/>
      <c r="I6" s="136"/>
      <c r="J6" s="136"/>
      <c r="K6" s="136"/>
      <c r="L6" s="136"/>
      <c r="M6" s="136"/>
      <c r="N6" s="136"/>
      <c r="O6" s="136"/>
      <c r="P6" s="136"/>
      <c r="Q6" s="136"/>
      <c r="R6" s="136"/>
      <c r="S6" s="136"/>
      <c r="T6" s="136"/>
      <c r="U6" s="136"/>
      <c r="V6" s="136"/>
      <c r="W6" s="136"/>
      <c r="X6" s="136"/>
      <c r="Y6" s="136"/>
      <c r="Z6" s="136"/>
      <c r="AA6" s="136"/>
      <c r="AB6" s="136"/>
      <c r="AC6" s="136"/>
      <c r="AD6" s="136"/>
      <c r="AE6" s="137"/>
      <c r="AH6" s="153" t="s">
        <v>44</v>
      </c>
    </row>
    <row r="7" spans="1:39" ht="16.2" thickBot="1"/>
    <row r="8" spans="1:39">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3"/>
    </row>
    <row r="9" spans="1:39" s="130" customFormat="1" ht="45" customHeight="1">
      <c r="B9" s="293" t="s">
        <v>47</v>
      </c>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140"/>
      <c r="AG9" s="131"/>
    </row>
    <row r="10" spans="1:39" s="78" customFormat="1" ht="13.5" customHeight="1">
      <c r="A10" s="171"/>
      <c r="B10" s="112"/>
      <c r="C10" s="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2"/>
      <c r="AF10" s="183"/>
      <c r="AG10" s="181"/>
      <c r="AH10" s="2" t="s">
        <v>32</v>
      </c>
      <c r="AI10" s="138" t="s">
        <v>46</v>
      </c>
      <c r="AJ10" s="138" t="s">
        <v>68</v>
      </c>
      <c r="AL10" s="80"/>
    </row>
    <row r="11" spans="1:39" s="1" customFormat="1" ht="16.2" thickBot="1">
      <c r="B11" s="107" t="s">
        <v>45</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108"/>
      <c r="AF11" s="62"/>
      <c r="AG11" s="62"/>
      <c r="AH11" s="2" t="s">
        <v>31</v>
      </c>
      <c r="AI11" s="153" t="s">
        <v>62</v>
      </c>
      <c r="AJ11" s="4" t="s">
        <v>66</v>
      </c>
    </row>
    <row r="12" spans="1:39" s="1" customFormat="1" ht="16.2" thickBot="1">
      <c r="B12" s="107"/>
      <c r="C12" s="476" t="s">
        <v>63</v>
      </c>
      <c r="D12" s="477"/>
      <c r="E12" s="477"/>
      <c r="F12" s="477"/>
      <c r="G12" s="477"/>
      <c r="H12" s="477"/>
      <c r="I12" s="477"/>
      <c r="J12" s="477"/>
      <c r="K12" s="477"/>
      <c r="L12" s="477"/>
      <c r="M12" s="477"/>
      <c r="N12" s="477"/>
      <c r="O12" s="477"/>
      <c r="P12" s="477"/>
      <c r="Q12" s="477"/>
      <c r="R12" s="477"/>
      <c r="S12" s="477"/>
      <c r="T12" s="477"/>
      <c r="U12" s="477"/>
      <c r="V12" s="477"/>
      <c r="W12" s="477"/>
      <c r="X12" s="477"/>
      <c r="Y12" s="477"/>
      <c r="Z12" s="478"/>
      <c r="AA12" s="62"/>
      <c r="AB12" s="62"/>
      <c r="AC12" s="62"/>
      <c r="AD12" s="62"/>
      <c r="AE12" s="108"/>
      <c r="AF12" s="62"/>
      <c r="AG12" s="62"/>
      <c r="AH12" s="2" t="s">
        <v>33</v>
      </c>
      <c r="AI12" s="153" t="s">
        <v>58</v>
      </c>
      <c r="AJ12" s="4" t="s">
        <v>67</v>
      </c>
    </row>
    <row r="13" spans="1:39">
      <c r="B13" s="104"/>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105"/>
      <c r="AF13" s="3"/>
    </row>
    <row r="14" spans="1:39" s="78" customFormat="1" ht="16.5" customHeight="1">
      <c r="A14" s="171"/>
      <c r="B14" s="493" t="str">
        <f>IF(C12="English","２、With or Without prohibited substances required by customer(Appendix 1) ",IF(C12="中文","２、是否存在客户要求违禁物质（附件1）","２、顧客要求禁止物質(別紙1追加)の有無"))</f>
        <v xml:space="preserve">２、With or Without prohibited substances required by customer(Appendix 1) </v>
      </c>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494"/>
      <c r="AA14" s="494"/>
      <c r="AB14" s="494"/>
      <c r="AC14" s="494"/>
      <c r="AD14" s="494"/>
      <c r="AE14" s="106"/>
      <c r="AF14" s="76"/>
      <c r="AG14" s="77"/>
      <c r="AM14" s="79"/>
    </row>
    <row r="15" spans="1:39" s="78" customFormat="1" ht="90" customHeight="1">
      <c r="A15" s="171"/>
      <c r="B15" s="184"/>
      <c r="C15" s="301" t="str">
        <f>VLOOKUP(C12,AH10:AJ12,IF(C5="有り / with / 是",2,3),FALSE)</f>
        <v>it is not necessary to fill out or submit Appendix 1 since the Prohibited substances required by customer are not specified in this form.
※ However, when there is a description of prohibited substances of our customers' customer requirements in other request form, it will be prohibited in accordance with the other request form.</v>
      </c>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106"/>
      <c r="AF15" s="76"/>
      <c r="AG15" s="77"/>
      <c r="AM15" s="79"/>
    </row>
    <row r="16" spans="1:39" s="78" customFormat="1" ht="13.5" customHeight="1">
      <c r="B16" s="185"/>
      <c r="C16" s="81"/>
      <c r="D16" s="81"/>
      <c r="E16" s="181"/>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7"/>
      <c r="AF16" s="183"/>
      <c r="AG16" s="181"/>
      <c r="AI16" s="80"/>
      <c r="AL16" s="80"/>
    </row>
    <row r="17" spans="1:41">
      <c r="B17" s="104" t="str">
        <f>IF(C12="English","３、Please fill in Certificate of Non-use of prohibited Substance below.",IF(C12="中文","３、以下，拜托填写禁止物质不使用证明书。","３、以下、禁止物質不使用証明書の記入をお願い致します。"))</f>
        <v>３、Please fill in Certificate of Non-use of prohibited Substance below.</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105"/>
      <c r="AF17" s="3"/>
    </row>
    <row r="18" spans="1:41" ht="16.2" thickBot="1">
      <c r="B18" s="109"/>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1"/>
      <c r="AF18" s="3"/>
    </row>
    <row r="19" spans="1:41">
      <c r="A19" s="495"/>
      <c r="B19" s="494"/>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3"/>
    </row>
    <row r="20" spans="1:41" ht="13.5" customHeight="1">
      <c r="B20" s="153" t="str">
        <f>'Certificate of Non-use'!B20</f>
        <v>9th</v>
      </c>
      <c r="X20" s="4"/>
      <c r="Y20" s="4"/>
      <c r="Z20" s="488"/>
      <c r="AA20" s="488"/>
      <c r="AB20" s="488"/>
      <c r="AC20" s="488"/>
      <c r="AD20" s="488"/>
      <c r="AE20" s="488"/>
    </row>
    <row r="21" spans="1:41" ht="10.050000000000001" customHeight="1">
      <c r="B21" s="483" t="str">
        <f>IF(C12="English","Certificate of Non-use of prohibited Substance",IF(C12="中文","禁用物质不使用证明书","禁止物質不使用証明書"))</f>
        <v>Certificate of Non-use of prohibited Substance</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row>
    <row r="22" spans="1:41" ht="10.050000000000001" customHeight="1">
      <c r="B22" s="443"/>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row>
    <row r="23" spans="1:41" ht="12" customHeight="1">
      <c r="C23" s="489"/>
      <c r="D23" s="489"/>
      <c r="E23" s="489"/>
      <c r="F23" s="489"/>
      <c r="G23" s="489"/>
      <c r="H23" s="489"/>
      <c r="I23" s="489"/>
      <c r="J23" s="489"/>
      <c r="K23" s="489"/>
      <c r="L23" s="489"/>
      <c r="M23" s="489"/>
      <c r="N23" s="489"/>
      <c r="O23" s="489"/>
      <c r="P23" s="489"/>
      <c r="Q23" s="489"/>
      <c r="R23" s="489"/>
      <c r="S23" s="489"/>
      <c r="T23" s="489"/>
      <c r="U23" s="489"/>
      <c r="V23" s="489"/>
      <c r="W23" s="188"/>
      <c r="X23" s="490"/>
      <c r="Y23" s="490"/>
      <c r="Z23" s="490"/>
      <c r="AA23" s="490"/>
      <c r="AB23" s="490"/>
      <c r="AC23" s="490"/>
      <c r="AD23" s="490"/>
      <c r="AE23" s="490"/>
      <c r="AO23" s="3"/>
    </row>
    <row r="24" spans="1:41" ht="20.100000000000001" customHeight="1">
      <c r="B24" s="491"/>
      <c r="C24" s="492"/>
      <c r="D24" s="492"/>
      <c r="E24" s="492"/>
      <c r="F24" s="492"/>
      <c r="G24" s="492"/>
      <c r="H24" s="492"/>
      <c r="I24" s="492"/>
      <c r="J24" s="492"/>
      <c r="K24" s="492"/>
      <c r="L24" s="492"/>
      <c r="M24" s="492"/>
      <c r="N24" s="492"/>
      <c r="O24" s="492"/>
      <c r="P24" s="6"/>
      <c r="U24" s="3"/>
      <c r="V24" s="83"/>
      <c r="W24" s="83"/>
      <c r="X24" s="83"/>
      <c r="Y24" s="83"/>
      <c r="Z24" s="7"/>
      <c r="AA24" s="7"/>
      <c r="AB24" s="7"/>
      <c r="AC24" s="7"/>
      <c r="AD24" s="7"/>
      <c r="AE24" s="7"/>
      <c r="AO24" s="3"/>
    </row>
    <row r="25" spans="1:41" ht="20.100000000000001" customHeight="1">
      <c r="B25" s="496"/>
      <c r="C25" s="497"/>
      <c r="D25" s="497"/>
      <c r="E25" s="497"/>
      <c r="F25" s="497"/>
      <c r="G25" s="497"/>
      <c r="H25" s="497"/>
      <c r="I25" s="497"/>
      <c r="J25" s="497"/>
      <c r="K25" s="497"/>
      <c r="L25" s="497"/>
      <c r="M25" s="497"/>
      <c r="N25" s="497"/>
      <c r="O25" s="498"/>
      <c r="P25" s="3"/>
      <c r="AI25" s="8"/>
      <c r="AK25" s="8"/>
      <c r="AL25" s="8"/>
      <c r="AM25" s="8"/>
      <c r="AN25" s="8"/>
      <c r="AO25" s="3"/>
    </row>
    <row r="26" spans="1:41" ht="10.050000000000001" customHeight="1">
      <c r="B26" s="434"/>
      <c r="C26" s="434"/>
      <c r="D26" s="434"/>
      <c r="E26" s="434"/>
      <c r="F26" s="434"/>
      <c r="G26" s="434"/>
      <c r="H26" s="9"/>
      <c r="I26" s="157"/>
      <c r="J26" s="157"/>
      <c r="K26" s="157"/>
      <c r="L26" s="157"/>
      <c r="M26" s="152"/>
      <c r="N26" s="157"/>
      <c r="O26" s="157"/>
      <c r="P26" s="83"/>
      <c r="T26" s="152"/>
      <c r="U26" s="429"/>
      <c r="V26" s="429"/>
      <c r="W26" s="429"/>
      <c r="X26" s="429"/>
      <c r="Y26" s="429"/>
      <c r="Z26" s="429"/>
      <c r="AA26" s="429"/>
      <c r="AB26" s="429"/>
      <c r="AC26" s="429"/>
      <c r="AD26" s="429"/>
      <c r="AE26" s="429"/>
      <c r="AI26" s="8"/>
      <c r="AJ26" s="8"/>
      <c r="AK26" s="8"/>
      <c r="AL26" s="8"/>
      <c r="AM26" s="8"/>
      <c r="AN26" s="8"/>
    </row>
    <row r="27" spans="1:41" ht="15" customHeight="1">
      <c r="B27" s="84" t="str">
        <f>IF(C12="English","Manufacturer to fill out",IF(C12="中文","[提出源记入栏］","[提出元記入欄］"))</f>
        <v>Manufacturer to fill out</v>
      </c>
      <c r="C27" s="5"/>
      <c r="E27" s="5"/>
      <c r="F27" s="5"/>
      <c r="G27" s="189"/>
      <c r="H27" s="83"/>
      <c r="I27" s="10"/>
      <c r="J27" s="10"/>
      <c r="K27" s="3"/>
      <c r="L27" s="3"/>
      <c r="P27" s="84"/>
      <c r="Q27" s="11"/>
      <c r="R27" s="11"/>
      <c r="S27" s="12"/>
      <c r="T27" s="190"/>
      <c r="AH27" s="8"/>
      <c r="AI27" s="8"/>
      <c r="AJ27" s="8"/>
      <c r="AK27" s="8"/>
      <c r="AL27" s="8"/>
      <c r="AM27" s="8"/>
      <c r="AN27" s="8"/>
    </row>
    <row r="28" spans="1:41" ht="22.05" customHeight="1">
      <c r="A28" s="3"/>
      <c r="B28" s="487" t="str">
        <f>IF(C12="English","Date(yy.mm.dd)",IF(C12="中文","发行日","発行日"))</f>
        <v>Date(yy.mm.dd)</v>
      </c>
      <c r="C28" s="485"/>
      <c r="D28" s="485"/>
      <c r="E28" s="485"/>
      <c r="F28" s="485"/>
      <c r="G28" s="486"/>
      <c r="H28" s="447" t="s">
        <v>25</v>
      </c>
      <c r="I28" s="471"/>
      <c r="J28" s="471"/>
      <c r="K28" s="471"/>
      <c r="L28" s="471"/>
      <c r="M28" s="471"/>
      <c r="N28" s="471"/>
      <c r="O28" s="471"/>
      <c r="P28" s="471"/>
      <c r="Q28" s="484" t="str">
        <f>IF(C12="English","E-mail",IF(C12="中文","邮箱地址","メールアドレス"))</f>
        <v>E-mail</v>
      </c>
      <c r="R28" s="485"/>
      <c r="S28" s="485"/>
      <c r="T28" s="485"/>
      <c r="U28" s="485"/>
      <c r="V28" s="486"/>
      <c r="W28" s="447" t="s">
        <v>24</v>
      </c>
      <c r="X28" s="448"/>
      <c r="Y28" s="448"/>
      <c r="Z28" s="448"/>
      <c r="AA28" s="448"/>
      <c r="AB28" s="448"/>
      <c r="AC28" s="448"/>
      <c r="AD28" s="448"/>
      <c r="AE28" s="448"/>
      <c r="AH28" s="8"/>
      <c r="AI28" s="8"/>
      <c r="AJ28" s="8"/>
      <c r="AK28" s="8"/>
      <c r="AL28" s="8"/>
      <c r="AM28" s="8"/>
      <c r="AN28" s="8"/>
    </row>
    <row r="29" spans="1:41" ht="22.05" customHeight="1">
      <c r="A29" s="3"/>
      <c r="B29" s="487" t="str">
        <f>IF(C12="English","Company name",IF(C12="中文","公司名称","会社名"))</f>
        <v>Company name</v>
      </c>
      <c r="C29" s="485"/>
      <c r="D29" s="485"/>
      <c r="E29" s="485"/>
      <c r="F29" s="485"/>
      <c r="G29" s="486"/>
      <c r="H29" s="499" t="s">
        <v>25</v>
      </c>
      <c r="I29" s="448"/>
      <c r="J29" s="448"/>
      <c r="K29" s="448"/>
      <c r="L29" s="448"/>
      <c r="M29" s="448"/>
      <c r="N29" s="448"/>
      <c r="O29" s="448"/>
      <c r="P29" s="500"/>
      <c r="Q29" s="484" t="str">
        <f>IF(C12="English","Phone number",IF(C12="中文","电话号码","電話番号"))</f>
        <v>Phone number</v>
      </c>
      <c r="R29" s="485"/>
      <c r="S29" s="485"/>
      <c r="T29" s="485"/>
      <c r="U29" s="485"/>
      <c r="V29" s="486"/>
      <c r="W29" s="447" t="s">
        <v>24</v>
      </c>
      <c r="X29" s="448"/>
      <c r="Y29" s="448"/>
      <c r="Z29" s="448"/>
      <c r="AA29" s="448"/>
      <c r="AB29" s="448"/>
      <c r="AC29" s="448"/>
      <c r="AD29" s="448"/>
      <c r="AE29" s="448"/>
      <c r="AH29" s="8"/>
      <c r="AI29" s="8"/>
      <c r="AJ29" s="8"/>
      <c r="AK29" s="8"/>
      <c r="AL29" s="8"/>
      <c r="AM29" s="8"/>
      <c r="AN29" s="8"/>
    </row>
    <row r="30" spans="1:41" ht="22.05" customHeight="1">
      <c r="A30" s="3"/>
      <c r="B30" s="501" t="str">
        <f>IF(C12="English","Division name",IF(C12="中文","部门名称","部署名"))</f>
        <v>Division name</v>
      </c>
      <c r="C30" s="501"/>
      <c r="D30" s="501"/>
      <c r="E30" s="501"/>
      <c r="F30" s="501"/>
      <c r="G30" s="502"/>
      <c r="H30" s="465" t="s">
        <v>24</v>
      </c>
      <c r="I30" s="466"/>
      <c r="J30" s="466"/>
      <c r="K30" s="466"/>
      <c r="L30" s="466"/>
      <c r="M30" s="466"/>
      <c r="N30" s="466"/>
      <c r="O30" s="466"/>
      <c r="P30" s="466"/>
      <c r="Q30" s="479" t="str">
        <f>IF(C12="English","Responsible person",IF(C12="中文","责任者名","責任者名"))</f>
        <v>Responsible person</v>
      </c>
      <c r="R30" s="480"/>
      <c r="S30" s="480"/>
      <c r="T30" s="480"/>
      <c r="U30" s="480"/>
      <c r="V30" s="481"/>
      <c r="W30" s="465" t="s">
        <v>24</v>
      </c>
      <c r="X30" s="467"/>
      <c r="Y30" s="467"/>
      <c r="Z30" s="467"/>
      <c r="AA30" s="467"/>
      <c r="AB30" s="467"/>
      <c r="AC30" s="467"/>
      <c r="AD30" s="467"/>
      <c r="AE30" s="467"/>
      <c r="AH30" s="8"/>
      <c r="AI30" s="8"/>
      <c r="AJ30" s="8"/>
      <c r="AK30" s="8"/>
      <c r="AL30" s="8"/>
      <c r="AM30" s="8"/>
      <c r="AN30" s="8"/>
    </row>
    <row r="31" spans="1:41" ht="22.05" customHeight="1">
      <c r="B31" s="487" t="str">
        <f>IF(C12="English","Written by",IF(C12="中文","填写者名","記入者名"))</f>
        <v>Written by</v>
      </c>
      <c r="C31" s="485"/>
      <c r="D31" s="485"/>
      <c r="E31" s="485"/>
      <c r="F31" s="485"/>
      <c r="G31" s="486"/>
      <c r="H31" s="447" t="s">
        <v>25</v>
      </c>
      <c r="I31" s="448"/>
      <c r="J31" s="448"/>
      <c r="K31" s="448"/>
      <c r="L31" s="448"/>
      <c r="M31" s="448"/>
      <c r="N31" s="448"/>
      <c r="O31" s="448"/>
      <c r="P31" s="448"/>
      <c r="Q31" s="468" t="str">
        <f>IF(C12="English"," Signature",IF(C12="中文","盖章","印　／　サイン"))</f>
        <v xml:space="preserve"> Signature</v>
      </c>
      <c r="R31" s="469"/>
      <c r="S31" s="469"/>
      <c r="T31" s="469"/>
      <c r="U31" s="469"/>
      <c r="V31" s="470"/>
      <c r="W31" s="482"/>
      <c r="X31" s="448"/>
      <c r="Y31" s="448"/>
      <c r="Z31" s="448"/>
      <c r="AA31" s="448"/>
      <c r="AB31" s="448"/>
      <c r="AC31" s="448"/>
      <c r="AD31" s="155" t="str">
        <f>IF(C12="English","",IF(C12="中文","盖章","印"))</f>
        <v/>
      </c>
      <c r="AE31" s="156"/>
    </row>
    <row r="32" spans="1:41" ht="10.050000000000001" customHeight="1">
      <c r="J32" s="83"/>
      <c r="K32" s="10"/>
      <c r="L32" s="10"/>
      <c r="M32" s="10"/>
      <c r="Y32" s="191"/>
    </row>
    <row r="33" spans="1:63" ht="14.55" customHeight="1">
      <c r="A33" s="84"/>
      <c r="B33" s="566" t="str">
        <f>IF(C12="English",AH34,IF(C12="中文",AH35,AH33))</f>
        <v>Our company warranties that our company do not use the prohibited substances required by "MinebeaMitsumi Group Green Procurement Standard EM10507 9th Edition", or the substances described as the target substance in "Prohibited substances required by customer list" of Appendix 1 or other request form equivalent to Appendix 1 except the following Claus2, for parts, units, components, raw materials, goods processed using such raw materials, subsidiary materials, and packaging materials for shipping MinebeaMitsumi products delivered to MinebeaMitsumi. With regard to the substances to which "MinebeaMitsumi Group regulation value" are indicated, our company will inform and confer with your company When your company judged that the content of substances exceeds "MinebeaMitsumi Group regulation value" and our company received that information, or when our company confirms that the content exceeds "Regulation value". And ,our company warranties that the packaging materials we use when delivering parts or parts units to your company comply with the requirements in Clause 3-8 of  EM10507.</v>
      </c>
      <c r="C33" s="566"/>
      <c r="D33" s="566"/>
      <c r="E33" s="566"/>
      <c r="F33" s="566"/>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84"/>
      <c r="AG33" s="157"/>
      <c r="AH33" s="139" t="s">
        <v>54</v>
      </c>
    </row>
    <row r="34" spans="1:63" ht="14.55" customHeight="1">
      <c r="A34" s="84"/>
      <c r="B34" s="566"/>
      <c r="C34" s="566"/>
      <c r="D34" s="566"/>
      <c r="E34" s="566"/>
      <c r="F34" s="566"/>
      <c r="G34" s="566"/>
      <c r="H34" s="566"/>
      <c r="I34" s="566"/>
      <c r="J34" s="566"/>
      <c r="K34" s="566"/>
      <c r="L34" s="566"/>
      <c r="M34" s="566"/>
      <c r="N34" s="566"/>
      <c r="O34" s="566"/>
      <c r="P34" s="566"/>
      <c r="Q34" s="566"/>
      <c r="R34" s="566"/>
      <c r="S34" s="566"/>
      <c r="T34" s="566"/>
      <c r="U34" s="566"/>
      <c r="V34" s="566"/>
      <c r="W34" s="566"/>
      <c r="X34" s="566"/>
      <c r="Y34" s="566"/>
      <c r="Z34" s="566"/>
      <c r="AA34" s="566"/>
      <c r="AB34" s="566"/>
      <c r="AC34" s="566"/>
      <c r="AD34" s="566"/>
      <c r="AE34" s="566"/>
      <c r="AF34" s="84"/>
      <c r="AG34" s="157"/>
      <c r="AH34" s="128" t="s">
        <v>83</v>
      </c>
    </row>
    <row r="35" spans="1:63" ht="14.55" customHeight="1">
      <c r="A35" s="84"/>
      <c r="B35" s="566"/>
      <c r="C35" s="566"/>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84"/>
      <c r="AG35" s="157"/>
      <c r="AH35" s="139" t="s">
        <v>61</v>
      </c>
    </row>
    <row r="36" spans="1:63" ht="14.55" customHeight="1">
      <c r="A36" s="84"/>
      <c r="B36" s="566"/>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84"/>
      <c r="AG36" s="157"/>
      <c r="AH36" s="139"/>
    </row>
    <row r="37" spans="1:63" ht="14.55" customHeight="1">
      <c r="A37" s="84"/>
      <c r="B37" s="566"/>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66"/>
      <c r="AD37" s="566"/>
      <c r="AE37" s="566"/>
      <c r="AF37" s="84"/>
      <c r="AG37" s="157"/>
    </row>
    <row r="38" spans="1:63" ht="14.55" customHeight="1">
      <c r="A38" s="84"/>
      <c r="B38" s="566"/>
      <c r="C38" s="566"/>
      <c r="D38" s="566"/>
      <c r="E38" s="566"/>
      <c r="F38" s="566"/>
      <c r="G38" s="566"/>
      <c r="H38" s="566"/>
      <c r="I38" s="566"/>
      <c r="J38" s="566"/>
      <c r="K38" s="566"/>
      <c r="L38" s="566"/>
      <c r="M38" s="566"/>
      <c r="N38" s="566"/>
      <c r="O38" s="566"/>
      <c r="P38" s="566"/>
      <c r="Q38" s="566"/>
      <c r="R38" s="566"/>
      <c r="S38" s="566"/>
      <c r="T38" s="566"/>
      <c r="U38" s="566"/>
      <c r="V38" s="566"/>
      <c r="W38" s="566"/>
      <c r="X38" s="566"/>
      <c r="Y38" s="566"/>
      <c r="Z38" s="566"/>
      <c r="AA38" s="566"/>
      <c r="AB38" s="566"/>
      <c r="AC38" s="566"/>
      <c r="AD38" s="566"/>
      <c r="AE38" s="566"/>
      <c r="AF38" s="84"/>
      <c r="AH38" s="192"/>
      <c r="AI38" s="157"/>
    </row>
    <row r="39" spans="1:63" ht="14.55" customHeight="1">
      <c r="A39" s="84"/>
      <c r="B39" s="566"/>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84"/>
      <c r="AH39" s="192"/>
      <c r="AI39" s="157"/>
    </row>
    <row r="40" spans="1:63" ht="14.55" customHeight="1">
      <c r="A40" s="84"/>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84"/>
      <c r="AH40" s="192"/>
      <c r="AI40" s="157"/>
    </row>
    <row r="41" spans="1:63" ht="14.55" customHeight="1">
      <c r="A41" s="84"/>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84"/>
      <c r="AH41" s="192"/>
      <c r="AI41" s="157"/>
    </row>
    <row r="42" spans="1:63" ht="14.55" customHeight="1">
      <c r="A42" s="84"/>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84"/>
      <c r="AG42" s="13"/>
      <c r="AH42" s="13"/>
      <c r="AI42" s="3"/>
      <c r="AJ42" s="3"/>
      <c r="AK42" s="3"/>
      <c r="AL42" s="3"/>
      <c r="AM42" s="3"/>
      <c r="AN42" s="3"/>
    </row>
    <row r="43" spans="1:63" ht="5.0999999999999996" customHeight="1">
      <c r="A43" s="83"/>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4"/>
      <c r="AG43" s="13"/>
      <c r="AK43" s="3"/>
      <c r="AL43" s="3"/>
      <c r="AM43" s="3"/>
      <c r="AN43" s="3"/>
    </row>
    <row r="44" spans="1:63" s="144" customFormat="1" ht="30" customHeight="1">
      <c r="A44" s="193"/>
      <c r="B44" s="568" t="str">
        <f>VLOOKUP(C12,AH44:AJ47,IF(C5="有り / with / 是",2,3),FALSE)</f>
        <v xml:space="preserve">  With or Without Sheet 1: Without</v>
      </c>
      <c r="C44" s="569"/>
      <c r="D44" s="569"/>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69"/>
      <c r="AD44" s="569"/>
      <c r="AE44" s="569"/>
      <c r="AF44" s="569"/>
      <c r="AG44" s="141"/>
      <c r="AH44" s="142" t="s">
        <v>32</v>
      </c>
      <c r="AI44" s="143" t="s">
        <v>56</v>
      </c>
      <c r="AJ44" s="144" t="s">
        <v>55</v>
      </c>
      <c r="AM44" s="145"/>
    </row>
    <row r="45" spans="1:63" s="144" customFormat="1" ht="10.050000000000001" customHeight="1">
      <c r="A45" s="193"/>
      <c r="B45" s="200"/>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41"/>
      <c r="AH45" s="142"/>
      <c r="AI45" s="143"/>
      <c r="AM45" s="145"/>
    </row>
    <row r="46" spans="1:63" ht="16.05" customHeight="1">
      <c r="A46" s="195"/>
      <c r="B46" s="451" t="str">
        <f>IF(C12="English","Address where EM10507 is posted",IF(C12="中文","EM10507的揭示地址","EM10507 掲載アドレス"))</f>
        <v>Address where EM10507 is posted</v>
      </c>
      <c r="C46" s="451"/>
      <c r="D46" s="451"/>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G46" s="157"/>
      <c r="AH46" s="2" t="s">
        <v>31</v>
      </c>
      <c r="AI46" s="130" t="s">
        <v>51</v>
      </c>
      <c r="AJ46" s="8" t="s">
        <v>64</v>
      </c>
      <c r="AK46" s="100"/>
      <c r="AL46" s="100"/>
      <c r="AM46" s="100"/>
      <c r="AN46" s="100"/>
      <c r="AO46" s="14"/>
      <c r="AP46" s="14"/>
      <c r="AQ46" s="14"/>
      <c r="AR46" s="14"/>
      <c r="AS46" s="14"/>
      <c r="AT46" s="14"/>
      <c r="AU46" s="14"/>
      <c r="AV46" s="14"/>
      <c r="AW46" s="14"/>
      <c r="AX46" s="14"/>
      <c r="AY46" s="14"/>
      <c r="AZ46" s="14"/>
      <c r="BA46" s="14"/>
      <c r="BB46" s="14"/>
      <c r="BC46" s="14"/>
      <c r="BD46" s="14"/>
      <c r="BE46" s="14"/>
      <c r="BF46" s="14"/>
      <c r="BG46" s="14"/>
      <c r="BH46" s="14"/>
      <c r="BI46" s="14"/>
      <c r="BJ46" s="14"/>
      <c r="BK46" s="14"/>
    </row>
    <row r="47" spans="1:63" ht="16.05" customHeight="1">
      <c r="A47" s="195"/>
      <c r="B47" s="570" t="s">
        <v>49</v>
      </c>
      <c r="C47" s="571"/>
      <c r="D47" s="571"/>
      <c r="E47" s="571"/>
      <c r="F47" s="571"/>
      <c r="G47" s="571"/>
      <c r="H47" s="571"/>
      <c r="I47" s="571"/>
      <c r="J47" s="571"/>
      <c r="K47" s="571"/>
      <c r="L47" s="571"/>
      <c r="M47" s="571"/>
      <c r="N47" s="571"/>
      <c r="O47" s="571"/>
      <c r="P47" s="571"/>
      <c r="Q47" s="571"/>
      <c r="R47" s="571"/>
      <c r="S47" s="571"/>
      <c r="T47" s="571"/>
      <c r="U47" s="571"/>
      <c r="V47" s="571"/>
      <c r="W47" s="571"/>
      <c r="X47" s="571"/>
      <c r="Y47" s="571"/>
      <c r="Z47" s="571"/>
      <c r="AA47" s="60"/>
      <c r="AB47" s="61"/>
      <c r="AC47" s="61"/>
      <c r="AD47" s="61"/>
      <c r="AE47" s="61"/>
      <c r="AF47" s="8"/>
      <c r="AG47" s="196"/>
      <c r="AH47" s="2" t="s">
        <v>33</v>
      </c>
      <c r="AI47" s="130" t="s">
        <v>60</v>
      </c>
      <c r="AJ47" s="4" t="s">
        <v>59</v>
      </c>
      <c r="AK47" s="3"/>
      <c r="AL47" s="100"/>
      <c r="AM47" s="100"/>
      <c r="AN47" s="100"/>
      <c r="AO47" s="14"/>
      <c r="AP47" s="14"/>
      <c r="AQ47" s="14"/>
      <c r="AR47" s="14"/>
      <c r="AS47" s="14"/>
      <c r="AT47" s="14"/>
      <c r="AU47" s="14"/>
      <c r="AV47" s="14"/>
      <c r="AW47" s="14"/>
      <c r="AX47" s="14"/>
      <c r="AY47" s="14"/>
      <c r="AZ47" s="14"/>
      <c r="BA47" s="14"/>
      <c r="BB47" s="14"/>
      <c r="BC47" s="14"/>
      <c r="BD47" s="14"/>
      <c r="BE47" s="14"/>
      <c r="BF47" s="14"/>
      <c r="BG47" s="14"/>
      <c r="BH47" s="14"/>
      <c r="BI47" s="14"/>
      <c r="BJ47" s="14"/>
    </row>
    <row r="48" spans="1:63" s="78" customFormat="1" ht="10.050000000000001" customHeight="1">
      <c r="A48" s="171"/>
      <c r="B48" s="70"/>
      <c r="C48" s="71"/>
      <c r="D48" s="72"/>
      <c r="E48" s="73"/>
      <c r="F48" s="73"/>
      <c r="G48" s="73"/>
      <c r="H48" s="70"/>
      <c r="I48" s="73"/>
      <c r="J48" s="73"/>
      <c r="K48" s="71"/>
      <c r="L48" s="73"/>
      <c r="M48" s="73"/>
      <c r="N48" s="73"/>
      <c r="O48" s="73"/>
      <c r="P48" s="73"/>
      <c r="Q48" s="72"/>
      <c r="R48" s="74"/>
      <c r="S48" s="73"/>
      <c r="T48" s="75"/>
      <c r="U48" s="76"/>
      <c r="V48" s="77"/>
      <c r="W48" s="77"/>
      <c r="X48" s="77"/>
      <c r="Y48" s="77"/>
      <c r="Z48" s="74"/>
      <c r="AA48" s="71"/>
      <c r="AB48" s="71"/>
      <c r="AC48" s="77"/>
      <c r="AD48" s="77"/>
      <c r="AE48" s="77"/>
      <c r="AF48" s="76"/>
      <c r="AG48" s="77"/>
      <c r="AI48" s="79"/>
      <c r="AM48" s="79"/>
    </row>
    <row r="49" spans="1:39" ht="14.55" customHeight="1">
      <c r="A49" s="15"/>
      <c r="B49" s="16" t="str">
        <f>IF(C12="English","1．Part name or Part number",IF(C12="中文","1．品名・品番号・图番号・条款编号","1．品名・品番・図番・アイテムコード"))</f>
        <v>1．Part name or Part number</v>
      </c>
      <c r="C49" s="15"/>
      <c r="G49" s="17"/>
      <c r="N49" s="84"/>
      <c r="AG49" s="83"/>
    </row>
    <row r="50" spans="1:39" ht="24" customHeight="1">
      <c r="C50" s="452" t="str">
        <f>IF(C12="English","Our part name, Manufacturer :",IF(C12="中文","本公司品名(厂家名):","弊社品名(ﾒｰｶｰ名)："))</f>
        <v>Our part name, Manufacturer :</v>
      </c>
      <c r="D50" s="453"/>
      <c r="E50" s="453"/>
      <c r="F50" s="453"/>
      <c r="G50" s="453"/>
      <c r="H50" s="454"/>
      <c r="I50" s="455"/>
      <c r="J50" s="455"/>
      <c r="K50" s="455"/>
      <c r="L50" s="455"/>
      <c r="M50" s="455"/>
      <c r="N50" s="455"/>
      <c r="O50" s="455"/>
      <c r="P50" s="455"/>
      <c r="R50" s="456" t="str">
        <f>IF(C12="English","Our part, Drawing number :",IF(C12="中文","本公司品番号, 图番 :","弊社品番,図番等："))</f>
        <v>Our part, Drawing number :</v>
      </c>
      <c r="S50" s="453"/>
      <c r="T50" s="453"/>
      <c r="U50" s="453"/>
      <c r="V50" s="453"/>
      <c r="W50" s="454"/>
      <c r="X50" s="455"/>
      <c r="Y50" s="455"/>
      <c r="Z50" s="455"/>
      <c r="AA50" s="455"/>
      <c r="AB50" s="455"/>
      <c r="AC50" s="455"/>
      <c r="AD50" s="455"/>
      <c r="AE50" s="455"/>
      <c r="AG50" s="59"/>
    </row>
    <row r="51" spans="1:39" ht="24" customHeight="1">
      <c r="C51" s="438" t="str">
        <f>IF(C12="English","MinebeaMitsumi part name :",IF(C12="中文","美蓓亚三美G 品名:","ﾐﾈﾍﾞｱﾐﾂﾐG品名："))</f>
        <v>MinebeaMitsumi part name :</v>
      </c>
      <c r="D51" s="438"/>
      <c r="E51" s="438"/>
      <c r="F51" s="438"/>
      <c r="G51" s="438"/>
      <c r="H51" s="439"/>
      <c r="I51" s="440"/>
      <c r="J51" s="440"/>
      <c r="K51" s="440"/>
      <c r="L51" s="440"/>
      <c r="M51" s="440"/>
      <c r="N51" s="440"/>
      <c r="O51" s="440"/>
      <c r="P51" s="440"/>
      <c r="Q51" s="3"/>
      <c r="R51" s="438" t="str">
        <f>IF(C12="English","MinebeaMitsumi G part RN :",IF(C12="中文","美蓓亚三美G 品番:","ﾐﾈﾍﾞｱﾐﾂﾐG品番："))</f>
        <v>MinebeaMitsumi G part RN :</v>
      </c>
      <c r="S51" s="438"/>
      <c r="T51" s="438"/>
      <c r="U51" s="438"/>
      <c r="V51" s="438"/>
      <c r="W51" s="441"/>
      <c r="X51" s="440"/>
      <c r="Y51" s="440"/>
      <c r="Z51" s="440"/>
      <c r="AA51" s="440"/>
      <c r="AB51" s="440"/>
      <c r="AC51" s="440"/>
      <c r="AD51" s="440"/>
      <c r="AE51" s="440"/>
      <c r="AG51" s="83"/>
    </row>
    <row r="52" spans="1:39" ht="24" customHeight="1">
      <c r="C52" s="474" t="str">
        <f>IF(C12="English","MinebeaMitsumi Drawing RN :",IF(C12="中文","美蓓亚三美G 图番","ﾐﾈﾍﾞｱﾐﾂﾐG図番："))</f>
        <v>MinebeaMitsumi Drawing RN :</v>
      </c>
      <c r="D52" s="474"/>
      <c r="E52" s="474"/>
      <c r="F52" s="474"/>
      <c r="G52" s="474"/>
      <c r="H52" s="439"/>
      <c r="I52" s="440"/>
      <c r="J52" s="440"/>
      <c r="K52" s="440"/>
      <c r="L52" s="440"/>
      <c r="M52" s="440"/>
      <c r="N52" s="440"/>
      <c r="O52" s="440"/>
      <c r="P52" s="440"/>
      <c r="Q52" s="3"/>
      <c r="R52" s="475" t="str">
        <f>IF(C12="English","MinebeaMitsumi Item code :",IF(C12="中文","美蓓亚三美条款编号","ﾐﾈﾍﾞｱﾐﾂﾐGｱｲﾃﾑｺｰﾄﾞ："))</f>
        <v>MinebeaMitsumi Item code :</v>
      </c>
      <c r="S52" s="474"/>
      <c r="T52" s="474"/>
      <c r="U52" s="474"/>
      <c r="V52" s="474"/>
      <c r="W52" s="441"/>
      <c r="X52" s="440"/>
      <c r="Y52" s="440"/>
      <c r="Z52" s="440"/>
      <c r="AA52" s="440"/>
      <c r="AB52" s="440"/>
      <c r="AC52" s="440"/>
      <c r="AD52" s="440"/>
      <c r="AE52" s="440"/>
      <c r="AG52" s="83"/>
      <c r="AM52" s="14"/>
    </row>
    <row r="53" spans="1:39" ht="10.050000000000001" customHeight="1">
      <c r="D53" s="18"/>
      <c r="E53" s="3"/>
      <c r="F53" s="3"/>
      <c r="G53" s="3"/>
      <c r="H53" s="5"/>
      <c r="I53" s="5"/>
      <c r="J53" s="5"/>
      <c r="K53" s="5"/>
      <c r="L53" s="5"/>
      <c r="M53" s="5"/>
      <c r="N53" s="5"/>
      <c r="O53" s="17"/>
      <c r="P53" s="19"/>
      <c r="Q53" s="7"/>
      <c r="R53" s="7"/>
      <c r="S53" s="5"/>
      <c r="T53" s="5"/>
      <c r="U53" s="5"/>
      <c r="V53" s="5"/>
      <c r="W53" s="5"/>
      <c r="X53" s="5"/>
      <c r="Y53" s="5"/>
      <c r="Z53" s="5"/>
      <c r="AA53" s="5"/>
      <c r="AB53" s="5"/>
    </row>
    <row r="54" spans="1:39" ht="16.05" customHeight="1">
      <c r="B54" s="20"/>
      <c r="C54" s="435"/>
      <c r="D54" s="435"/>
      <c r="E54" s="574" t="str">
        <f>IF(C12="English","Certificate of Non-use list is attached due to the large number of parts being reported on(also Clause 2）",IF(C12="中文","由于部品数量多，附上不使用证明书一览表并报告(包含2项)。","部品が多数のため不使用証明書リストを添付して報告します(2項を含む)。"))</f>
        <v>Certificate of Non-use list is attached due to the large number of parts being reported on(also Clause 2）</v>
      </c>
      <c r="F54" s="575"/>
      <c r="G54" s="575"/>
      <c r="H54" s="575"/>
      <c r="I54" s="575"/>
      <c r="J54" s="575"/>
      <c r="K54" s="575"/>
      <c r="L54" s="575"/>
      <c r="M54" s="575"/>
      <c r="N54" s="575"/>
      <c r="O54" s="575"/>
      <c r="P54" s="575"/>
      <c r="Q54" s="575"/>
      <c r="R54" s="575"/>
      <c r="S54" s="575"/>
      <c r="T54" s="575"/>
      <c r="U54" s="575"/>
      <c r="V54" s="575"/>
      <c r="W54" s="575"/>
      <c r="X54" s="575"/>
      <c r="Y54" s="575"/>
      <c r="Z54" s="576"/>
      <c r="AA54" s="576"/>
      <c r="AB54" s="576"/>
      <c r="AC54" s="576"/>
      <c r="AD54" s="576"/>
      <c r="AE54" s="576"/>
      <c r="AH54" s="3"/>
      <c r="AK54" s="3"/>
    </row>
    <row r="55" spans="1:39" ht="10.050000000000001" customHeight="1">
      <c r="D55" s="18"/>
      <c r="E55" s="3"/>
      <c r="F55" s="3"/>
      <c r="G55" s="3"/>
      <c r="H55" s="5"/>
      <c r="I55" s="5"/>
      <c r="J55" s="5"/>
      <c r="K55" s="5"/>
      <c r="L55" s="5"/>
      <c r="M55" s="5"/>
      <c r="N55" s="5"/>
      <c r="O55" s="17"/>
      <c r="P55" s="19"/>
      <c r="Q55" s="7"/>
      <c r="R55" s="7"/>
      <c r="S55" s="5"/>
      <c r="T55" s="5"/>
      <c r="U55" s="5"/>
      <c r="V55" s="5"/>
      <c r="W55" s="5"/>
      <c r="X55" s="5"/>
      <c r="Y55" s="5"/>
      <c r="Z55" s="5"/>
      <c r="AA55" s="5"/>
      <c r="AB55" s="5"/>
    </row>
    <row r="56" spans="1:39" ht="15" customHeight="1">
      <c r="B56" s="20" t="str">
        <f>IF(C12="English","2．RoHS directive Exemptions",IF(C12="中文","2．RoHS指令适用除外用途","2．RoHS指令 適用除外用途"))</f>
        <v>2．RoHS directive Exemptions</v>
      </c>
      <c r="C56" s="21"/>
      <c r="D56" s="157"/>
      <c r="E56" s="8"/>
      <c r="F56" s="8"/>
      <c r="G56" s="8"/>
      <c r="H56" s="20"/>
      <c r="I56" s="8"/>
      <c r="J56" s="8"/>
      <c r="K56" s="21"/>
      <c r="L56" s="21"/>
      <c r="M56" s="8"/>
      <c r="N56" s="8"/>
      <c r="O56" s="8"/>
      <c r="P56" s="8"/>
      <c r="Q56" s="152"/>
      <c r="R56" s="8"/>
      <c r="S56" s="22"/>
      <c r="T56" s="4"/>
      <c r="U56" s="13"/>
      <c r="V56" s="13"/>
      <c r="W56" s="13"/>
      <c r="X56" s="152"/>
      <c r="Y56" s="21"/>
      <c r="Z56" s="21"/>
      <c r="AA56" s="13"/>
      <c r="AB56" s="13"/>
      <c r="AC56" s="13"/>
      <c r="AD56" s="13"/>
      <c r="AE56" s="4"/>
    </row>
    <row r="57" spans="1:39" ht="16.05" customHeight="1">
      <c r="B57" s="20"/>
      <c r="C57" s="435"/>
      <c r="D57" s="435"/>
      <c r="E57" s="442" t="str">
        <f>IF(C12="English","RoHS directive prohibited substance under the scope of exemptions is not used.",IF(C12="中文","没有符合适用除外的部材","適用除外に該当する部材はありません。"))</f>
        <v>RoHS directive prohibited substance under the scope of exemptions is not used.</v>
      </c>
      <c r="F57" s="458"/>
      <c r="G57" s="458"/>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K57" s="84"/>
    </row>
    <row r="58" spans="1:39" ht="10.050000000000001" customHeight="1">
      <c r="B58" s="20"/>
      <c r="C58" s="21"/>
      <c r="D58" s="157"/>
      <c r="E58" s="8"/>
      <c r="F58" s="8"/>
      <c r="G58" s="8"/>
      <c r="H58" s="20"/>
      <c r="I58" s="8"/>
      <c r="J58" s="8"/>
      <c r="K58" s="21"/>
      <c r="L58" s="21"/>
      <c r="M58" s="8"/>
      <c r="N58" s="8"/>
      <c r="O58" s="8"/>
      <c r="P58" s="8"/>
      <c r="Q58" s="152"/>
      <c r="R58" s="8"/>
      <c r="S58" s="22"/>
      <c r="T58" s="4"/>
      <c r="U58" s="13"/>
      <c r="V58" s="13"/>
      <c r="W58" s="13"/>
      <c r="X58" s="152"/>
      <c r="Y58" s="21"/>
      <c r="Z58" s="21"/>
      <c r="AA58" s="13"/>
      <c r="AB58" s="13"/>
      <c r="AC58" s="13"/>
      <c r="AD58" s="13"/>
      <c r="AE58" s="4"/>
    </row>
    <row r="59" spans="1:39" ht="16.05" customHeight="1">
      <c r="B59" s="20"/>
      <c r="C59" s="435"/>
      <c r="D59" s="435"/>
      <c r="E59" s="442" t="str">
        <f>IF(C12="English","RoHS directive prohibited substance under the scope of exemption is used.",IF(C12="中文","在符合适用除外用途使用RoHS指令禁止物质","適用除外に該当する用途でRoHS指令禁止物質を使用しています。"))</f>
        <v>RoHS directive prohibited substance under the scope of exemption is used.</v>
      </c>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I59" s="84"/>
    </row>
    <row r="60" spans="1:39" ht="10.050000000000001" customHeight="1">
      <c r="B60" s="20"/>
      <c r="C60" s="3"/>
      <c r="D60" s="3"/>
      <c r="E60" s="157"/>
      <c r="F60" s="3"/>
      <c r="G60" s="3"/>
      <c r="H60" s="3"/>
      <c r="I60" s="3"/>
      <c r="J60" s="3"/>
      <c r="K60" s="3"/>
      <c r="L60" s="3"/>
      <c r="M60" s="3"/>
      <c r="N60" s="3"/>
      <c r="O60" s="3"/>
      <c r="P60" s="3"/>
      <c r="Q60" s="3"/>
      <c r="R60" s="3"/>
      <c r="S60" s="3"/>
      <c r="T60" s="3"/>
      <c r="U60" s="3"/>
      <c r="V60" s="3"/>
      <c r="W60" s="3"/>
      <c r="X60" s="3"/>
      <c r="Y60" s="3"/>
      <c r="Z60" s="3"/>
      <c r="AA60" s="3"/>
      <c r="AB60" s="3"/>
      <c r="AC60" s="13"/>
      <c r="AD60" s="13"/>
      <c r="AE60" s="4"/>
      <c r="AI60" s="84"/>
    </row>
    <row r="61" spans="1:39" s="23" customFormat="1">
      <c r="B61" s="24"/>
      <c r="C61" s="432" t="str">
        <f>IF(C12="English","We fill the number of the exemption, the name of the contained substance, CAS RN, and the region below.",IF(C12="中文","记载以下适用除外用途的RN、含有物质名称、CAS RN","以下に適用除外用途のRN、含有する物質名、CAS RN、部位を記載します。"))</f>
        <v>We fill the number of the exemption, the name of the contained substance, CAS RN, and the region below.</v>
      </c>
      <c r="D61" s="433"/>
      <c r="E61" s="433"/>
      <c r="F61" s="433"/>
      <c r="G61" s="433"/>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3"/>
      <c r="AG61" s="85"/>
      <c r="AH61" s="129"/>
      <c r="AJ61" s="153"/>
    </row>
    <row r="62" spans="1:39" s="23" customFormat="1">
      <c r="B62" s="24"/>
      <c r="C62" s="432" t="str">
        <f>IF(C12="English","※Refer to the following for exemptions ",IF(C12="中文","※适用除外参照处","※適用除外参照先"))</f>
        <v xml:space="preserve">※Refer to the following for exemptions </v>
      </c>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G62" s="85"/>
      <c r="AH62" s="129"/>
      <c r="AJ62" s="153"/>
    </row>
    <row r="63" spans="1:39" s="23" customFormat="1">
      <c r="B63" s="24"/>
      <c r="C63" s="572" t="s">
        <v>28</v>
      </c>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G63" s="85"/>
      <c r="AH63" s="129"/>
      <c r="AJ63" s="153"/>
    </row>
    <row r="64" spans="1:39" s="23" customFormat="1" ht="16.05" customHeight="1">
      <c r="B64" s="24"/>
      <c r="C64" s="25"/>
      <c r="D64" s="462" t="str">
        <f>IF(C12="English","Exempt No.",IF(C12="中文","适用除外No.:","適用除外No. "))</f>
        <v>Exempt No.</v>
      </c>
      <c r="E64" s="463"/>
      <c r="F64" s="463"/>
      <c r="G64" s="463"/>
      <c r="H64" s="464"/>
      <c r="I64" s="462" t="str">
        <f>IF(C12="English","Substance name",IF(C12="中文","物质名称","物質名"))</f>
        <v>Substance name</v>
      </c>
      <c r="J64" s="463"/>
      <c r="K64" s="463"/>
      <c r="L64" s="463"/>
      <c r="M64" s="463"/>
      <c r="N64" s="463"/>
      <c r="O64" s="463"/>
      <c r="P64" s="463"/>
      <c r="Q64" s="464"/>
      <c r="R64" s="462" t="str">
        <f>IF(C12="English","CAS RN ",IF(C12="中文","CAS RN ","CAS RN "))</f>
        <v xml:space="preserve">CAS RN </v>
      </c>
      <c r="S64" s="463"/>
      <c r="T64" s="463"/>
      <c r="U64" s="463"/>
      <c r="V64" s="463"/>
      <c r="W64" s="463"/>
      <c r="X64" s="464"/>
      <c r="Y64" s="462" t="str">
        <f>IF(C12="English","Region",IF(C12="中文","部位","部位"))</f>
        <v>Region</v>
      </c>
      <c r="Z64" s="463"/>
      <c r="AA64" s="463"/>
      <c r="AB64" s="463"/>
      <c r="AC64" s="463"/>
      <c r="AD64" s="463"/>
      <c r="AE64" s="464"/>
      <c r="AG64" s="85"/>
      <c r="AH64" s="129"/>
      <c r="AL64" s="26"/>
    </row>
    <row r="65" spans="1:37" s="23" customFormat="1" ht="20.100000000000001" customHeight="1">
      <c r="B65" s="24"/>
      <c r="C65" s="27">
        <v>1</v>
      </c>
      <c r="D65" s="461"/>
      <c r="E65" s="461"/>
      <c r="F65" s="461"/>
      <c r="G65" s="461"/>
      <c r="H65" s="461"/>
      <c r="I65" s="461"/>
      <c r="J65" s="461"/>
      <c r="K65" s="461"/>
      <c r="L65" s="461"/>
      <c r="M65" s="461"/>
      <c r="N65" s="461"/>
      <c r="O65" s="461"/>
      <c r="P65" s="461"/>
      <c r="Q65" s="461"/>
      <c r="R65" s="408"/>
      <c r="S65" s="409"/>
      <c r="T65" s="409"/>
      <c r="U65" s="409"/>
      <c r="V65" s="409"/>
      <c r="W65" s="409"/>
      <c r="X65" s="410"/>
      <c r="Y65" s="408"/>
      <c r="Z65" s="409"/>
      <c r="AA65" s="409"/>
      <c r="AB65" s="409"/>
      <c r="AC65" s="409"/>
      <c r="AD65" s="409"/>
      <c r="AE65" s="410"/>
      <c r="AG65" s="85"/>
      <c r="AH65" s="129"/>
    </row>
    <row r="66" spans="1:37" s="23" customFormat="1" ht="20.100000000000001" customHeight="1">
      <c r="B66" s="24"/>
      <c r="C66" s="27">
        <v>2</v>
      </c>
      <c r="D66" s="461"/>
      <c r="E66" s="461"/>
      <c r="F66" s="461"/>
      <c r="G66" s="461"/>
      <c r="H66" s="461"/>
      <c r="I66" s="461"/>
      <c r="J66" s="461"/>
      <c r="K66" s="461"/>
      <c r="L66" s="461"/>
      <c r="M66" s="461"/>
      <c r="N66" s="461"/>
      <c r="O66" s="461"/>
      <c r="P66" s="461"/>
      <c r="Q66" s="461"/>
      <c r="R66" s="408"/>
      <c r="S66" s="409"/>
      <c r="T66" s="409"/>
      <c r="U66" s="409"/>
      <c r="V66" s="409"/>
      <c r="W66" s="409"/>
      <c r="X66" s="410"/>
      <c r="Y66" s="408"/>
      <c r="Z66" s="409"/>
      <c r="AA66" s="409"/>
      <c r="AB66" s="409"/>
      <c r="AC66" s="409"/>
      <c r="AD66" s="409"/>
      <c r="AE66" s="410"/>
      <c r="AG66" s="85"/>
      <c r="AH66" s="129"/>
    </row>
    <row r="67" spans="1:37" s="23" customFormat="1" ht="20.100000000000001" customHeight="1">
      <c r="B67" s="24"/>
      <c r="C67" s="27">
        <v>3</v>
      </c>
      <c r="D67" s="461"/>
      <c r="E67" s="461"/>
      <c r="F67" s="461"/>
      <c r="G67" s="461"/>
      <c r="H67" s="461"/>
      <c r="I67" s="461"/>
      <c r="J67" s="461"/>
      <c r="K67" s="461"/>
      <c r="L67" s="461"/>
      <c r="M67" s="461"/>
      <c r="N67" s="461"/>
      <c r="O67" s="461"/>
      <c r="P67" s="461"/>
      <c r="Q67" s="461"/>
      <c r="R67" s="408"/>
      <c r="S67" s="409"/>
      <c r="T67" s="409"/>
      <c r="U67" s="409"/>
      <c r="V67" s="409"/>
      <c r="W67" s="409"/>
      <c r="X67" s="410"/>
      <c r="Y67" s="408"/>
      <c r="Z67" s="409"/>
      <c r="AA67" s="409"/>
      <c r="AB67" s="409"/>
      <c r="AC67" s="409"/>
      <c r="AD67" s="409"/>
      <c r="AE67" s="410"/>
      <c r="AG67" s="85"/>
      <c r="AH67" s="129"/>
    </row>
    <row r="68" spans="1:37" s="23" customFormat="1" ht="20.100000000000001" customHeight="1">
      <c r="B68" s="24"/>
      <c r="C68" s="27">
        <v>4</v>
      </c>
      <c r="D68" s="461"/>
      <c r="E68" s="461"/>
      <c r="F68" s="461"/>
      <c r="G68" s="461"/>
      <c r="H68" s="461"/>
      <c r="I68" s="461"/>
      <c r="J68" s="461"/>
      <c r="K68" s="461"/>
      <c r="L68" s="461"/>
      <c r="M68" s="461"/>
      <c r="N68" s="461"/>
      <c r="O68" s="461"/>
      <c r="P68" s="461"/>
      <c r="Q68" s="461"/>
      <c r="R68" s="408"/>
      <c r="S68" s="409"/>
      <c r="T68" s="409"/>
      <c r="U68" s="409"/>
      <c r="V68" s="409"/>
      <c r="W68" s="409"/>
      <c r="X68" s="410"/>
      <c r="Y68" s="408"/>
      <c r="Z68" s="409"/>
      <c r="AA68" s="409"/>
      <c r="AB68" s="409"/>
      <c r="AC68" s="409"/>
      <c r="AD68" s="409"/>
      <c r="AE68" s="410"/>
      <c r="AG68" s="85"/>
      <c r="AH68" s="129"/>
    </row>
    <row r="69" spans="1:37" s="23" customFormat="1" ht="20.100000000000001" customHeight="1">
      <c r="B69" s="24"/>
      <c r="C69" s="27">
        <v>5</v>
      </c>
      <c r="D69" s="408"/>
      <c r="E69" s="409"/>
      <c r="F69" s="409"/>
      <c r="G69" s="409"/>
      <c r="H69" s="410"/>
      <c r="I69" s="408"/>
      <c r="J69" s="409"/>
      <c r="K69" s="409"/>
      <c r="L69" s="409"/>
      <c r="M69" s="409"/>
      <c r="N69" s="409"/>
      <c r="O69" s="409"/>
      <c r="P69" s="409"/>
      <c r="Q69" s="410"/>
      <c r="R69" s="408"/>
      <c r="S69" s="409"/>
      <c r="T69" s="409"/>
      <c r="U69" s="409"/>
      <c r="V69" s="409"/>
      <c r="W69" s="409"/>
      <c r="X69" s="410"/>
      <c r="Y69" s="408"/>
      <c r="Z69" s="409"/>
      <c r="AA69" s="409"/>
      <c r="AB69" s="409"/>
      <c r="AC69" s="409"/>
      <c r="AD69" s="409"/>
      <c r="AE69" s="410"/>
      <c r="AG69" s="85"/>
      <c r="AH69" s="129"/>
    </row>
    <row r="70" spans="1:37" s="23" customFormat="1" ht="9.75" customHeight="1">
      <c r="B70" s="28"/>
      <c r="C70" s="28"/>
      <c r="D70" s="28"/>
      <c r="E70" s="28"/>
      <c r="F70" s="28"/>
      <c r="G70" s="28"/>
      <c r="H70" s="28"/>
      <c r="I70" s="28"/>
      <c r="J70" s="28"/>
      <c r="K70" s="28"/>
      <c r="L70" s="28"/>
      <c r="M70" s="28"/>
      <c r="N70" s="28"/>
      <c r="O70" s="29"/>
      <c r="P70" s="28"/>
      <c r="Q70" s="28"/>
      <c r="R70" s="28"/>
      <c r="S70" s="28"/>
      <c r="AG70" s="85"/>
      <c r="AH70" s="129"/>
    </row>
    <row r="71" spans="1:37" ht="13.5" customHeight="1">
      <c r="B71" s="30"/>
      <c r="C71" s="197"/>
      <c r="D71" s="31"/>
      <c r="E71" s="31"/>
      <c r="F71" s="31"/>
      <c r="G71" s="31"/>
      <c r="H71" s="31"/>
      <c r="I71" s="31"/>
      <c r="J71" s="31"/>
      <c r="K71" s="31"/>
      <c r="L71" s="31"/>
      <c r="M71" s="31"/>
      <c r="N71" s="31"/>
      <c r="O71" s="31"/>
      <c r="P71" s="31"/>
      <c r="Q71" s="157"/>
      <c r="R71" s="157"/>
      <c r="S71" s="32"/>
      <c r="T71" s="157"/>
      <c r="U71" s="157"/>
      <c r="V71" s="157"/>
      <c r="W71" s="157"/>
      <c r="X71" s="157"/>
      <c r="Y71" s="157"/>
      <c r="Z71" s="399" t="str">
        <f>'Certificate of Non-use'!Z71:AE71</f>
        <v>Form：F-0045-14</v>
      </c>
      <c r="AA71" s="399"/>
      <c r="AB71" s="399"/>
      <c r="AC71" s="399"/>
      <c r="AD71" s="399"/>
      <c r="AE71" s="399"/>
      <c r="AH71" s="3"/>
      <c r="AI71" s="3"/>
      <c r="AJ71" s="3"/>
      <c r="AK71" s="3"/>
    </row>
    <row r="72" spans="1:37" ht="13.5" customHeight="1">
      <c r="B72" s="30"/>
      <c r="C72" s="197"/>
      <c r="D72" s="31"/>
      <c r="E72" s="31"/>
      <c r="F72" s="31"/>
      <c r="G72" s="31"/>
      <c r="H72" s="31"/>
      <c r="I72" s="31"/>
      <c r="J72" s="31"/>
      <c r="K72" s="31"/>
      <c r="L72" s="31"/>
      <c r="M72" s="31"/>
      <c r="N72" s="31"/>
      <c r="O72" s="31"/>
      <c r="P72" s="31"/>
      <c r="Q72" s="157"/>
      <c r="R72" s="157"/>
      <c r="S72" s="32"/>
      <c r="T72" s="157"/>
      <c r="U72" s="157"/>
      <c r="V72" s="157"/>
      <c r="W72" s="157"/>
      <c r="X72" s="157"/>
      <c r="Y72" s="157"/>
      <c r="Z72" s="33"/>
      <c r="AA72" s="33"/>
      <c r="AB72" s="33"/>
      <c r="AC72" s="33"/>
      <c r="AD72" s="33"/>
      <c r="AE72" s="33"/>
      <c r="AH72" s="3"/>
      <c r="AI72" s="3"/>
      <c r="AJ72" s="3"/>
      <c r="AK72" s="3"/>
    </row>
    <row r="73" spans="1:37" ht="20.100000000000001" customHeight="1">
      <c r="A73" s="17"/>
      <c r="B73" s="42" t="str">
        <f>IF(C12="English","Prohibited substances",IF(C12="中文","禁用物质","禁止物質"))</f>
        <v>Prohibited substances</v>
      </c>
      <c r="C73" s="17"/>
      <c r="D73" s="35"/>
      <c r="E73" s="17"/>
      <c r="F73" s="17"/>
    </row>
    <row r="74" spans="1:37" ht="15" customHeight="1">
      <c r="B74" s="83"/>
      <c r="C74" s="83" t="str">
        <f>IF(C12="English","Please enter ○ in the check column in the case of conformity, .",IF(C12="中文","符合时请在确认栏填写〇。","＊適合の場合はチェック欄に○を記入ください。"))</f>
        <v>Please enter ○ in the check column in the case of conformity, .</v>
      </c>
      <c r="D74" s="83"/>
      <c r="E74" s="83"/>
      <c r="F74" s="83"/>
      <c r="G74" s="83"/>
      <c r="H74" s="83"/>
      <c r="I74" s="83"/>
      <c r="J74" s="83"/>
      <c r="K74" s="83"/>
      <c r="L74" s="83"/>
      <c r="M74" s="83"/>
      <c r="N74" s="36"/>
      <c r="O74" s="157"/>
      <c r="P74" s="157"/>
      <c r="V74" s="123"/>
      <c r="W74" s="198"/>
      <c r="X74" s="198"/>
      <c r="Y74" s="198"/>
      <c r="Z74" s="198"/>
      <c r="AA74" s="198"/>
      <c r="AB74" s="198"/>
      <c r="AC74" s="198"/>
      <c r="AD74" s="198"/>
      <c r="AE74" s="198"/>
    </row>
    <row r="75" spans="1:37" ht="30" customHeight="1">
      <c r="B75" s="83"/>
      <c r="C75" s="159" t="s">
        <v>42</v>
      </c>
      <c r="D75" s="592" t="str">
        <f>IF(C12="English","Chemical substances",IF(C12="中文","物　质  名","物  質  名"))</f>
        <v>Chemical substances</v>
      </c>
      <c r="E75" s="593"/>
      <c r="F75" s="593"/>
      <c r="G75" s="593"/>
      <c r="H75" s="593"/>
      <c r="I75" s="593"/>
      <c r="J75" s="593"/>
      <c r="K75" s="593"/>
      <c r="L75" s="593"/>
      <c r="M75" s="593"/>
      <c r="N75" s="593"/>
      <c r="O75" s="593"/>
      <c r="P75" s="593"/>
      <c r="Q75" s="594" t="str">
        <f>IF(C12="English","Objects of Regulations",IF(C12="中文","限制对象","規制対象"))</f>
        <v>Objects of Regulations</v>
      </c>
      <c r="R75" s="595"/>
      <c r="S75" s="595"/>
      <c r="T75" s="595"/>
      <c r="U75" s="595"/>
      <c r="V75" s="595"/>
      <c r="W75" s="595"/>
      <c r="X75" s="592" t="str">
        <f>IF(C12="English","Regulation value   (ppm)",IF(C12="中文","限制值(ppm)","規制値(ppm)"))</f>
        <v>Regulation value   (ppm)</v>
      </c>
      <c r="Y75" s="593"/>
      <c r="Z75" s="593"/>
      <c r="AA75" s="593"/>
      <c r="AB75" s="593"/>
      <c r="AC75" s="594" t="str">
        <f>IF(C12="English","Check",IF(C12="中文","检查栏","チェック欄"))</f>
        <v>Check</v>
      </c>
      <c r="AD75" s="594"/>
      <c r="AE75" s="595"/>
    </row>
    <row r="76" spans="1:37" ht="15" customHeight="1">
      <c r="B76" s="84"/>
      <c r="C76" s="602">
        <v>1</v>
      </c>
      <c r="D76" s="609" t="str">
        <f>IF(C12="English","Cadmium and its compounds",IF(C12="中文"," 镉及其化合物","カドミウムおよびその化合物"))</f>
        <v>Cadmium and its compounds</v>
      </c>
      <c r="E76" s="593"/>
      <c r="F76" s="593"/>
      <c r="G76" s="593"/>
      <c r="H76" s="593"/>
      <c r="I76" s="593"/>
      <c r="J76" s="593"/>
      <c r="K76" s="593"/>
      <c r="L76" s="593"/>
      <c r="M76" s="593"/>
      <c r="N76" s="593"/>
      <c r="O76" s="593"/>
      <c r="P76" s="593"/>
      <c r="Q76" s="526" t="str">
        <f>IF(C12="English","All uses (except for the exemption)  
Details refer to Attachment:I Prohibited substances",IF(C12="中文","所有用途（除去适用除外）
限制物质的详细请参照附属书I禁止物质一览","全ての用途（適用除外を除く）
規制対象の詳細は、附属書Ⅰ禁止物質リストを参照下さい"))</f>
        <v>All uses (except for the exemption)  
Details refer to Attachment:I Prohibited substances</v>
      </c>
      <c r="R76" s="610"/>
      <c r="S76" s="610"/>
      <c r="T76" s="610"/>
      <c r="U76" s="610"/>
      <c r="V76" s="610"/>
      <c r="W76" s="611"/>
      <c r="X76" s="609"/>
      <c r="Y76" s="593"/>
      <c r="Z76" s="593"/>
      <c r="AA76" s="593"/>
      <c r="AB76" s="593"/>
      <c r="AC76" s="577"/>
      <c r="AD76" s="578"/>
      <c r="AE76" s="579"/>
    </row>
    <row r="77" spans="1:37" ht="15" customHeight="1">
      <c r="B77" s="17"/>
      <c r="C77" s="603"/>
      <c r="D77" s="550" t="str">
        <f>IF(C12="English","Plastic, ink, grease, adhesives, etc.",IF(C12="中文","树脂,油墨,润滑油脂,胶合剂等","プラスチック,インキ,グリス,接着剤など"))</f>
        <v>Plastic, ink, grease, adhesives, etc.</v>
      </c>
      <c r="E77" s="551"/>
      <c r="F77" s="551"/>
      <c r="G77" s="551"/>
      <c r="H77" s="551"/>
      <c r="I77" s="551"/>
      <c r="J77" s="551"/>
      <c r="K77" s="551"/>
      <c r="L77" s="551"/>
      <c r="M77" s="551"/>
      <c r="N77" s="551"/>
      <c r="O77" s="551"/>
      <c r="P77" s="552"/>
      <c r="Q77" s="612"/>
      <c r="R77" s="494"/>
      <c r="S77" s="494"/>
      <c r="T77" s="494"/>
      <c r="U77" s="494"/>
      <c r="V77" s="494"/>
      <c r="W77" s="613"/>
      <c r="X77" s="586">
        <v>5</v>
      </c>
      <c r="Y77" s="587"/>
      <c r="Z77" s="587"/>
      <c r="AA77" s="587"/>
      <c r="AB77" s="588"/>
      <c r="AC77" s="580"/>
      <c r="AD77" s="581"/>
      <c r="AE77" s="582"/>
    </row>
    <row r="78" spans="1:37" ht="15" customHeight="1">
      <c r="A78" s="4"/>
      <c r="B78" s="17"/>
      <c r="C78" s="603"/>
      <c r="D78" s="503" t="str">
        <f>IF(C12="English","Solder",IF(C12="中文","焊料","はんだ"))</f>
        <v>Solder</v>
      </c>
      <c r="E78" s="504"/>
      <c r="F78" s="504"/>
      <c r="G78" s="504"/>
      <c r="H78" s="504"/>
      <c r="I78" s="504"/>
      <c r="J78" s="504"/>
      <c r="K78" s="504"/>
      <c r="L78" s="504"/>
      <c r="M78" s="504"/>
      <c r="N78" s="504"/>
      <c r="O78" s="504"/>
      <c r="P78" s="505"/>
      <c r="Q78" s="612"/>
      <c r="R78" s="494"/>
      <c r="S78" s="494"/>
      <c r="T78" s="494"/>
      <c r="U78" s="494"/>
      <c r="V78" s="494"/>
      <c r="W78" s="613"/>
      <c r="X78" s="589">
        <v>20</v>
      </c>
      <c r="Y78" s="590"/>
      <c r="Z78" s="590"/>
      <c r="AA78" s="590"/>
      <c r="AB78" s="591"/>
      <c r="AC78" s="580"/>
      <c r="AD78" s="581"/>
      <c r="AE78" s="582"/>
    </row>
    <row r="79" spans="1:37" ht="15" customHeight="1">
      <c r="C79" s="603"/>
      <c r="D79" s="509" t="str">
        <f>IF(C12="English","Other applications",IF(C12="中文","其他用途","その他の用途"))</f>
        <v>Other applications</v>
      </c>
      <c r="E79" s="510"/>
      <c r="F79" s="510"/>
      <c r="G79" s="510"/>
      <c r="H79" s="510"/>
      <c r="I79" s="510"/>
      <c r="J79" s="510"/>
      <c r="K79" s="510"/>
      <c r="L79" s="510"/>
      <c r="M79" s="510"/>
      <c r="N79" s="510"/>
      <c r="O79" s="510"/>
      <c r="P79" s="511"/>
      <c r="Q79" s="612"/>
      <c r="R79" s="494"/>
      <c r="S79" s="494"/>
      <c r="T79" s="494"/>
      <c r="U79" s="494"/>
      <c r="V79" s="494"/>
      <c r="W79" s="613"/>
      <c r="X79" s="596">
        <v>75</v>
      </c>
      <c r="Y79" s="597"/>
      <c r="Z79" s="597"/>
      <c r="AA79" s="597"/>
      <c r="AB79" s="598"/>
      <c r="AC79" s="580"/>
      <c r="AD79" s="581"/>
      <c r="AE79" s="582"/>
    </row>
    <row r="80" spans="1:37" ht="15" customHeight="1">
      <c r="C80" s="608"/>
      <c r="D80" s="509" t="str">
        <f>IF(C12="English","Battery",IF(C12="中文","电池","電池"))</f>
        <v>Battery</v>
      </c>
      <c r="E80" s="510"/>
      <c r="F80" s="510"/>
      <c r="G80" s="510"/>
      <c r="H80" s="510"/>
      <c r="I80" s="510"/>
      <c r="J80" s="510"/>
      <c r="K80" s="510"/>
      <c r="L80" s="510"/>
      <c r="M80" s="510"/>
      <c r="N80" s="510"/>
      <c r="O80" s="510"/>
      <c r="P80" s="511"/>
      <c r="Q80" s="612"/>
      <c r="R80" s="494"/>
      <c r="S80" s="494"/>
      <c r="T80" s="494"/>
      <c r="U80" s="494"/>
      <c r="V80" s="494"/>
      <c r="W80" s="613"/>
      <c r="X80" s="599" t="str">
        <f>IF(C12="English","20 with Battery as a denominator",IF(C12="中文"," 20 电池作为分母","電池を分母として20"))</f>
        <v>20 with Battery as a denominator</v>
      </c>
      <c r="Y80" s="600"/>
      <c r="Z80" s="600"/>
      <c r="AA80" s="600"/>
      <c r="AB80" s="601"/>
      <c r="AC80" s="583"/>
      <c r="AD80" s="584"/>
      <c r="AE80" s="585"/>
    </row>
    <row r="81" spans="1:31" ht="15" customHeight="1">
      <c r="A81" s="15"/>
      <c r="B81" s="3"/>
      <c r="C81" s="602">
        <v>2</v>
      </c>
      <c r="D81" s="523" t="str">
        <f>IF(C12="English","Lead and its compounds",IF(C12="中文","铅及其化合物","鉛およびその化合物"))</f>
        <v>Lead and its compounds</v>
      </c>
      <c r="E81" s="524"/>
      <c r="F81" s="524"/>
      <c r="G81" s="524"/>
      <c r="H81" s="524"/>
      <c r="I81" s="524"/>
      <c r="J81" s="524"/>
      <c r="K81" s="524"/>
      <c r="L81" s="524"/>
      <c r="M81" s="524"/>
      <c r="N81" s="524"/>
      <c r="O81" s="524"/>
      <c r="P81" s="525"/>
      <c r="Q81" s="612"/>
      <c r="R81" s="494"/>
      <c r="S81" s="494"/>
      <c r="T81" s="494"/>
      <c r="U81" s="494"/>
      <c r="V81" s="494"/>
      <c r="W81" s="613"/>
      <c r="X81" s="605"/>
      <c r="Y81" s="606"/>
      <c r="Z81" s="606"/>
      <c r="AA81" s="606"/>
      <c r="AB81" s="607"/>
      <c r="AC81" s="577"/>
      <c r="AD81" s="578"/>
      <c r="AE81" s="615"/>
    </row>
    <row r="82" spans="1:31" ht="15" customHeight="1">
      <c r="B82" s="3"/>
      <c r="C82" s="603"/>
      <c r="D82" s="550" t="str">
        <f>IF(C12="English","Plastic, ink, grease, adhesives, etc.",IF(C12="中文","树脂,油墨,润滑油脂,胶合剂等","プラスチック,インキ,グリス,接着剤など"))</f>
        <v>Plastic, ink, grease, adhesives, etc.</v>
      </c>
      <c r="E82" s="551"/>
      <c r="F82" s="551"/>
      <c r="G82" s="551"/>
      <c r="H82" s="551"/>
      <c r="I82" s="551"/>
      <c r="J82" s="551"/>
      <c r="K82" s="551"/>
      <c r="L82" s="551"/>
      <c r="M82" s="551"/>
      <c r="N82" s="551"/>
      <c r="O82" s="551"/>
      <c r="P82" s="552"/>
      <c r="Q82" s="612"/>
      <c r="R82" s="494"/>
      <c r="S82" s="494"/>
      <c r="T82" s="494"/>
      <c r="U82" s="494"/>
      <c r="V82" s="494"/>
      <c r="W82" s="613"/>
      <c r="X82" s="586">
        <v>100</v>
      </c>
      <c r="Y82" s="587"/>
      <c r="Z82" s="587"/>
      <c r="AA82" s="587"/>
      <c r="AB82" s="588"/>
      <c r="AC82" s="580"/>
      <c r="AD82" s="581"/>
      <c r="AE82" s="626"/>
    </row>
    <row r="83" spans="1:31" ht="15" customHeight="1">
      <c r="C83" s="603"/>
      <c r="D83" s="503" t="str">
        <f>IF(C12="English","Lead-free solder",IF(C12="中文","无铅焊料","鉛ﾌﾘｰはんだ"))</f>
        <v>Lead-free solder</v>
      </c>
      <c r="E83" s="504"/>
      <c r="F83" s="504"/>
      <c r="G83" s="504"/>
      <c r="H83" s="504"/>
      <c r="I83" s="504"/>
      <c r="J83" s="504"/>
      <c r="K83" s="504"/>
      <c r="L83" s="504"/>
      <c r="M83" s="504"/>
      <c r="N83" s="504"/>
      <c r="O83" s="504"/>
      <c r="P83" s="505"/>
      <c r="Q83" s="612"/>
      <c r="R83" s="494"/>
      <c r="S83" s="494"/>
      <c r="T83" s="494"/>
      <c r="U83" s="494"/>
      <c r="V83" s="494"/>
      <c r="W83" s="613"/>
      <c r="X83" s="589">
        <v>500</v>
      </c>
      <c r="Y83" s="590"/>
      <c r="Z83" s="590"/>
      <c r="AA83" s="590"/>
      <c r="AB83" s="591"/>
      <c r="AC83" s="580"/>
      <c r="AD83" s="581"/>
      <c r="AE83" s="626"/>
    </row>
    <row r="84" spans="1:31" ht="15" customHeight="1">
      <c r="C84" s="604"/>
      <c r="D84" s="509" t="str">
        <f>IF(C12="English","Other applications",IF(C12="中文","其他用途","その他の用途"))</f>
        <v>Other applications</v>
      </c>
      <c r="E84" s="510"/>
      <c r="F84" s="510"/>
      <c r="G84" s="510"/>
      <c r="H84" s="510"/>
      <c r="I84" s="510"/>
      <c r="J84" s="510"/>
      <c r="K84" s="510"/>
      <c r="L84" s="510"/>
      <c r="M84" s="510"/>
      <c r="N84" s="510"/>
      <c r="O84" s="510"/>
      <c r="P84" s="511"/>
      <c r="Q84" s="612"/>
      <c r="R84" s="494"/>
      <c r="S84" s="494"/>
      <c r="T84" s="494"/>
      <c r="U84" s="494"/>
      <c r="V84" s="494"/>
      <c r="W84" s="613"/>
      <c r="X84" s="623">
        <v>1000</v>
      </c>
      <c r="Y84" s="624"/>
      <c r="Z84" s="624"/>
      <c r="AA84" s="624"/>
      <c r="AB84" s="625"/>
      <c r="AC84" s="627"/>
      <c r="AD84" s="628"/>
      <c r="AE84" s="629"/>
    </row>
    <row r="85" spans="1:31" ht="15" customHeight="1">
      <c r="C85" s="154">
        <v>3</v>
      </c>
      <c r="D85" s="523" t="str">
        <f>IF(C12="English","Hexavalent chromium compounds",IF(C12="中文","六价铬化合物","六価クロム化合物"))</f>
        <v>Hexavalent chromium compounds</v>
      </c>
      <c r="E85" s="524"/>
      <c r="F85" s="524"/>
      <c r="G85" s="524"/>
      <c r="H85" s="524"/>
      <c r="I85" s="524"/>
      <c r="J85" s="524"/>
      <c r="K85" s="524"/>
      <c r="L85" s="524"/>
      <c r="M85" s="524"/>
      <c r="N85" s="524"/>
      <c r="O85" s="524"/>
      <c r="P85" s="525"/>
      <c r="Q85" s="612"/>
      <c r="R85" s="494"/>
      <c r="S85" s="494"/>
      <c r="T85" s="494"/>
      <c r="U85" s="494"/>
      <c r="V85" s="494"/>
      <c r="W85" s="613"/>
      <c r="X85" s="630">
        <v>1000</v>
      </c>
      <c r="Y85" s="631"/>
      <c r="Z85" s="631"/>
      <c r="AA85" s="631"/>
      <c r="AB85" s="632"/>
      <c r="AC85" s="506"/>
      <c r="AD85" s="507"/>
      <c r="AE85" s="508"/>
    </row>
    <row r="86" spans="1:31" ht="15" customHeight="1">
      <c r="C86" s="602">
        <v>4</v>
      </c>
      <c r="D86" s="523" t="str">
        <f>IF(C12="English","Mercury and its compounds",IF(C12="中文","汞极其化合物","水銀およびその化合物"))</f>
        <v>Mercury and its compounds</v>
      </c>
      <c r="E86" s="524"/>
      <c r="F86" s="524"/>
      <c r="G86" s="524"/>
      <c r="H86" s="524"/>
      <c r="I86" s="524"/>
      <c r="J86" s="524"/>
      <c r="K86" s="524"/>
      <c r="L86" s="524"/>
      <c r="M86" s="524"/>
      <c r="N86" s="524"/>
      <c r="O86" s="524"/>
      <c r="P86" s="525"/>
      <c r="Q86" s="612"/>
      <c r="R86" s="494"/>
      <c r="S86" s="494"/>
      <c r="T86" s="494"/>
      <c r="U86" s="494"/>
      <c r="V86" s="494"/>
      <c r="W86" s="613"/>
      <c r="X86" s="605"/>
      <c r="Y86" s="606"/>
      <c r="Z86" s="606"/>
      <c r="AA86" s="606"/>
      <c r="AB86" s="607"/>
      <c r="AC86" s="577"/>
      <c r="AD86" s="578"/>
      <c r="AE86" s="615"/>
    </row>
    <row r="87" spans="1:31" ht="45" customHeight="1">
      <c r="C87" s="614"/>
      <c r="D87" s="509" t="str">
        <f>IF(C12="English","All uses for not batteries",IF(C12="中文","电池以外所有用途","電池を除く、全ての用途"))</f>
        <v>All uses for not batteries</v>
      </c>
      <c r="E87" s="510"/>
      <c r="F87" s="510"/>
      <c r="G87" s="510"/>
      <c r="H87" s="510"/>
      <c r="I87" s="510"/>
      <c r="J87" s="510"/>
      <c r="K87" s="510"/>
      <c r="L87" s="510"/>
      <c r="M87" s="510"/>
      <c r="N87" s="510"/>
      <c r="O87" s="510"/>
      <c r="P87" s="511"/>
      <c r="Q87" s="612"/>
      <c r="R87" s="494"/>
      <c r="S87" s="494"/>
      <c r="T87" s="494"/>
      <c r="U87" s="494"/>
      <c r="V87" s="494"/>
      <c r="W87" s="613"/>
      <c r="X87" s="623" t="str">
        <f>IF(C12="English","Intentionally added or 1,000",IF(C12="中文","禁止有意添加
且　1,000","意図的添加禁止
且つ 1,000"))</f>
        <v>Intentionally added or 1,000</v>
      </c>
      <c r="Y87" s="624"/>
      <c r="Z87" s="624"/>
      <c r="AA87" s="624"/>
      <c r="AB87" s="625"/>
      <c r="AC87" s="616"/>
      <c r="AD87" s="617"/>
      <c r="AE87" s="618"/>
    </row>
    <row r="88" spans="1:31" ht="15" customHeight="1">
      <c r="C88" s="608"/>
      <c r="D88" s="509" t="str">
        <f>IF(C12="English","Other applications",IF(C12="中文","电池","電池"))</f>
        <v>Other applications</v>
      </c>
      <c r="E88" s="510"/>
      <c r="F88" s="510"/>
      <c r="G88" s="510"/>
      <c r="H88" s="510"/>
      <c r="I88" s="510"/>
      <c r="J88" s="510"/>
      <c r="K88" s="510"/>
      <c r="L88" s="510"/>
      <c r="M88" s="510"/>
      <c r="N88" s="510"/>
      <c r="O88" s="510"/>
      <c r="P88" s="511"/>
      <c r="Q88" s="612"/>
      <c r="R88" s="494"/>
      <c r="S88" s="494"/>
      <c r="T88" s="494"/>
      <c r="U88" s="494"/>
      <c r="V88" s="494"/>
      <c r="W88" s="613"/>
      <c r="X88" s="623" t="str">
        <f>IF(C12="English","5 with Battery as a denominator",IF(C12="中文"," 5 电池作为分母","電池を分母として5"))</f>
        <v>5 with Battery as a denominator</v>
      </c>
      <c r="Y88" s="624"/>
      <c r="Z88" s="624"/>
      <c r="AA88" s="624"/>
      <c r="AB88" s="625"/>
      <c r="AC88" s="616"/>
      <c r="AD88" s="619"/>
      <c r="AE88" s="618"/>
    </row>
    <row r="89" spans="1:31" ht="15" customHeight="1">
      <c r="C89" s="154">
        <v>5</v>
      </c>
      <c r="D89" s="523" t="str">
        <f>IF(C12="English","Polybrominated  biphenyls (PBB)",IF(C12="中文","PBB；聚溴联苯","PBB；ポリ臭化ビフェニル"))</f>
        <v>Polybrominated  biphenyls (PBB)</v>
      </c>
      <c r="E89" s="524"/>
      <c r="F89" s="524"/>
      <c r="G89" s="524"/>
      <c r="H89" s="524"/>
      <c r="I89" s="524"/>
      <c r="J89" s="524"/>
      <c r="K89" s="524"/>
      <c r="L89" s="524"/>
      <c r="M89" s="524"/>
      <c r="N89" s="524"/>
      <c r="O89" s="524"/>
      <c r="P89" s="525"/>
      <c r="Q89" s="583"/>
      <c r="R89" s="584"/>
      <c r="S89" s="584"/>
      <c r="T89" s="584"/>
      <c r="U89" s="584"/>
      <c r="V89" s="584"/>
      <c r="W89" s="585"/>
      <c r="X89" s="630">
        <v>1000</v>
      </c>
      <c r="Y89" s="631"/>
      <c r="Z89" s="631"/>
      <c r="AA89" s="631"/>
      <c r="AB89" s="632"/>
      <c r="AC89" s="620"/>
      <c r="AD89" s="621"/>
      <c r="AE89" s="622"/>
    </row>
    <row r="90" spans="1:31" ht="30" customHeight="1">
      <c r="C90" s="633">
        <v>6</v>
      </c>
      <c r="D90" s="526" t="str">
        <f>IF(C12="English","Polybrominated diphenyl ethers (PBDE)  (Including Deca-BDE: Decabromojiphenyl ether CAS RN 1163-19-5)",IF(C12="中文","PBDE；聚溴联苯醚 (包括DBDE (十溴联苯醚) CAS RN 1163-19-5)","PBDE；ポリ臭化ジフェニルエーテル (Deca-BDE：デカブロモジフェニルエーテル CAS RN 1163-19-5を含む)"))</f>
        <v>Polybrominated diphenyl ethers (PBDE)  (Including Deca-BDE: Decabromojiphenyl ether CAS RN 1163-19-5)</v>
      </c>
      <c r="E90" s="635"/>
      <c r="F90" s="635"/>
      <c r="G90" s="635"/>
      <c r="H90" s="635"/>
      <c r="I90" s="635"/>
      <c r="J90" s="635"/>
      <c r="K90" s="635"/>
      <c r="L90" s="635"/>
      <c r="M90" s="635"/>
      <c r="N90" s="635"/>
      <c r="O90" s="635"/>
      <c r="P90" s="636"/>
      <c r="Q90" s="638" t="str">
        <f>IF(C12="English","Uses for electrical and electronic equipment",IF(C12="中文","电气电子机器用途","電気電子機器用途"))</f>
        <v>Uses for electrical and electronic equipment</v>
      </c>
      <c r="R90" s="639"/>
      <c r="S90" s="639"/>
      <c r="T90" s="639"/>
      <c r="U90" s="639"/>
      <c r="V90" s="639"/>
      <c r="W90" s="640"/>
      <c r="X90" s="630" t="str">
        <f>IF(C12="English","Intentionally added or 1,000",IF(C12="中文","禁止有意添加
且限制值为1,000","意図的添加禁止
且つ 1,000"))</f>
        <v>Intentionally added or 1,000</v>
      </c>
      <c r="Y90" s="631"/>
      <c r="Z90" s="631"/>
      <c r="AA90" s="631"/>
      <c r="AB90" s="632"/>
      <c r="AC90" s="577"/>
      <c r="AD90" s="578"/>
      <c r="AE90" s="615"/>
    </row>
    <row r="91" spans="1:31" ht="30" customHeight="1">
      <c r="C91" s="634"/>
      <c r="D91" s="532"/>
      <c r="E91" s="533"/>
      <c r="F91" s="533"/>
      <c r="G91" s="533"/>
      <c r="H91" s="533"/>
      <c r="I91" s="533"/>
      <c r="J91" s="533"/>
      <c r="K91" s="533"/>
      <c r="L91" s="533"/>
      <c r="M91" s="533"/>
      <c r="N91" s="533"/>
      <c r="O91" s="533"/>
      <c r="P91" s="637"/>
      <c r="Q91" s="638" t="str">
        <f>IF(C12="English","Uses for not electrical and electronic equipment",IF(C12="中文","电气电子机器以外用途","電気電子機器以外の用途"))</f>
        <v>Uses for not electrical and electronic equipment</v>
      </c>
      <c r="R91" s="639"/>
      <c r="S91" s="639"/>
      <c r="T91" s="639"/>
      <c r="U91" s="639"/>
      <c r="V91" s="639"/>
      <c r="W91" s="640"/>
      <c r="X91" s="623" t="str">
        <f>IF(C12="English","Intentionally added or 500",IF(C12="中文","禁止有意添加
且限制值为500","意図的添加禁止
且つ 500"))</f>
        <v>Intentionally added or 500</v>
      </c>
      <c r="Y91" s="624"/>
      <c r="Z91" s="624"/>
      <c r="AA91" s="624"/>
      <c r="AB91" s="625"/>
      <c r="AC91" s="620"/>
      <c r="AD91" s="621"/>
      <c r="AE91" s="622"/>
    </row>
    <row r="92" spans="1:31" ht="15" customHeight="1">
      <c r="C92" s="641" t="s">
        <v>27</v>
      </c>
      <c r="D92" s="638" t="str">
        <f>IF(C12="English","Phthalate esters 4 substances below",IF(C12="中文","邻苯二甲酸酯 下述4种物质","フタル酸エステル　下記４物質"))</f>
        <v>Phthalate esters 4 substances below</v>
      </c>
      <c r="E92" s="644"/>
      <c r="F92" s="644"/>
      <c r="G92" s="644"/>
      <c r="H92" s="644"/>
      <c r="I92" s="644"/>
      <c r="J92" s="644"/>
      <c r="K92" s="644"/>
      <c r="L92" s="644"/>
      <c r="M92" s="644"/>
      <c r="N92" s="644"/>
      <c r="O92" s="644"/>
      <c r="P92" s="645"/>
      <c r="Q92" s="646"/>
      <c r="R92" s="647"/>
      <c r="S92" s="647"/>
      <c r="T92" s="647"/>
      <c r="U92" s="647"/>
      <c r="V92" s="647"/>
      <c r="W92" s="648"/>
      <c r="X92" s="630"/>
      <c r="Y92" s="631"/>
      <c r="Z92" s="631"/>
      <c r="AA92" s="631"/>
      <c r="AB92" s="632"/>
      <c r="AC92" s="649"/>
      <c r="AD92" s="650"/>
      <c r="AE92" s="651"/>
    </row>
    <row r="93" spans="1:31" ht="30" customHeight="1">
      <c r="C93" s="642"/>
      <c r="D93" s="550" t="str">
        <f>IF(C12="English","Bis(2-ethylhexyl) phthalate（DEHP）
(Another name : DOP) (CAS RN 117-81-7)",IF(C12="中文","邻苯二甲酸二（2-乙基己基）酯（DEHP)　 
别称 : DOP(CAS RN 117-81-7)","フタル酸ビス（2-エチルヘキシル）（DEHP）
別称：DOP(CAS RN 117-81-7) "))</f>
        <v>Bis(2-ethylhexyl) phthalate（DEHP）
(Another name : DOP) (CAS RN 117-81-7)</v>
      </c>
      <c r="E93" s="551"/>
      <c r="F93" s="551"/>
      <c r="G93" s="551"/>
      <c r="H93" s="551"/>
      <c r="I93" s="551"/>
      <c r="J93" s="551"/>
      <c r="K93" s="551"/>
      <c r="L93" s="551"/>
      <c r="M93" s="551"/>
      <c r="N93" s="551"/>
      <c r="O93" s="551"/>
      <c r="P93" s="552"/>
      <c r="Q93" s="652" t="str">
        <f>IF(C12="English","Uses for electrical and electronic equipment",IF(C12="中文","電気電子機器用途","電気電子機器用途"))</f>
        <v>Uses for electrical and electronic equipment</v>
      </c>
      <c r="R93" s="653"/>
      <c r="S93" s="653"/>
      <c r="T93" s="653"/>
      <c r="U93" s="653"/>
      <c r="V93" s="653"/>
      <c r="W93" s="654"/>
      <c r="X93" s="541" t="str">
        <f>IF(C12="English","Each : 1,000",IF(C12="中文","各 1,000","各 1,000"))</f>
        <v>Each : 1,000</v>
      </c>
      <c r="Y93" s="542"/>
      <c r="Z93" s="542"/>
      <c r="AA93" s="542"/>
      <c r="AB93" s="543"/>
      <c r="AC93" s="506"/>
      <c r="AD93" s="507"/>
      <c r="AE93" s="508"/>
    </row>
    <row r="94" spans="1:31" ht="30" customHeight="1">
      <c r="C94" s="642"/>
      <c r="D94" s="503" t="str">
        <f>IF(C12="English","Dibutyl phthalate（DBP）
(CAS RN 84-74-2)",IF(C12="中文","邻苯二甲酸二丁酯（DBP）
(CAS RN 84-74-2)","フタル酸ジブチル（DBP）
(CAS RN 84-74-2)"))</f>
        <v>Dibutyl phthalate（DBP）
(CAS RN 84-74-2)</v>
      </c>
      <c r="E94" s="504"/>
      <c r="F94" s="504"/>
      <c r="G94" s="504"/>
      <c r="H94" s="504"/>
      <c r="I94" s="504"/>
      <c r="J94" s="504"/>
      <c r="K94" s="504"/>
      <c r="L94" s="504"/>
      <c r="M94" s="504"/>
      <c r="N94" s="504"/>
      <c r="O94" s="504"/>
      <c r="P94" s="505"/>
      <c r="Q94" s="655"/>
      <c r="R94" s="656"/>
      <c r="S94" s="656"/>
      <c r="T94" s="656"/>
      <c r="U94" s="656"/>
      <c r="V94" s="656"/>
      <c r="W94" s="657"/>
      <c r="X94" s="544"/>
      <c r="Y94" s="545"/>
      <c r="Z94" s="545"/>
      <c r="AA94" s="545"/>
      <c r="AB94" s="546"/>
      <c r="AC94" s="506"/>
      <c r="AD94" s="507"/>
      <c r="AE94" s="508"/>
    </row>
    <row r="95" spans="1:31" ht="30" customHeight="1">
      <c r="C95" s="642"/>
      <c r="D95" s="503" t="str">
        <f>IF(C12="English","Benzyl butyl phthalate (BBP)
(CAS RN 85-68-7)",IF(C12="中文","邻苯二甲酸丁苄酯（BBP）
(CAS RN 85-68-7)","フタル酸ブチルベンジル(BBP)
(CAS RN 85-68-7)"))</f>
        <v>Benzyl butyl phthalate (BBP)
(CAS RN 85-68-7)</v>
      </c>
      <c r="E95" s="504"/>
      <c r="F95" s="504"/>
      <c r="G95" s="504"/>
      <c r="H95" s="504"/>
      <c r="I95" s="504"/>
      <c r="J95" s="504"/>
      <c r="K95" s="504"/>
      <c r="L95" s="504"/>
      <c r="M95" s="504"/>
      <c r="N95" s="504"/>
      <c r="O95" s="504"/>
      <c r="P95" s="505"/>
      <c r="Q95" s="655"/>
      <c r="R95" s="656"/>
      <c r="S95" s="656"/>
      <c r="T95" s="656"/>
      <c r="U95" s="656"/>
      <c r="V95" s="656"/>
      <c r="W95" s="657"/>
      <c r="X95" s="544"/>
      <c r="Y95" s="545"/>
      <c r="Z95" s="545"/>
      <c r="AA95" s="545"/>
      <c r="AB95" s="546"/>
      <c r="AC95" s="506"/>
      <c r="AD95" s="507"/>
      <c r="AE95" s="508"/>
    </row>
    <row r="96" spans="1:31" ht="30" customHeight="1">
      <c r="C96" s="643"/>
      <c r="D96" s="509" t="str">
        <f>IF(C12="English","Diisobutyl phthalate (DIBP)
(CAS RN84-69-5)",IF(C12="中文","邻苯二甲酸二异丁酯（DIBP）
(CAS RN 84-69-5)","フタル酸ジイソブチル (DIBP)
(CAS RN 84-69-5)"))</f>
        <v>Diisobutyl phthalate (DIBP)
(CAS RN84-69-5)</v>
      </c>
      <c r="E96" s="510"/>
      <c r="F96" s="510"/>
      <c r="G96" s="510"/>
      <c r="H96" s="510"/>
      <c r="I96" s="510"/>
      <c r="J96" s="510"/>
      <c r="K96" s="510"/>
      <c r="L96" s="510"/>
      <c r="M96" s="510"/>
      <c r="N96" s="510"/>
      <c r="O96" s="510"/>
      <c r="P96" s="511"/>
      <c r="Q96" s="658"/>
      <c r="R96" s="659"/>
      <c r="S96" s="659"/>
      <c r="T96" s="659"/>
      <c r="U96" s="659"/>
      <c r="V96" s="659"/>
      <c r="W96" s="660"/>
      <c r="X96" s="661"/>
      <c r="Y96" s="662"/>
      <c r="Z96" s="662"/>
      <c r="AA96" s="662"/>
      <c r="AB96" s="663"/>
      <c r="AC96" s="506"/>
      <c r="AD96" s="507"/>
      <c r="AE96" s="508"/>
    </row>
    <row r="97" spans="2:37" ht="15" customHeight="1">
      <c r="C97" s="664" t="s">
        <v>0</v>
      </c>
      <c r="D97" s="638" t="str">
        <f>IF(C12="English","Phthalate esters 4 substances below",IF(C12="中文","邻苯二甲酸酯 下述4种物质","フタル酸エステル　下記４物質"))</f>
        <v>Phthalate esters 4 substances below</v>
      </c>
      <c r="E97" s="644"/>
      <c r="F97" s="644"/>
      <c r="G97" s="644"/>
      <c r="H97" s="644"/>
      <c r="I97" s="644"/>
      <c r="J97" s="644"/>
      <c r="K97" s="644"/>
      <c r="L97" s="644"/>
      <c r="M97" s="644"/>
      <c r="N97" s="644"/>
      <c r="O97" s="644"/>
      <c r="P97" s="645"/>
      <c r="Q97" s="646"/>
      <c r="R97" s="647"/>
      <c r="S97" s="647"/>
      <c r="T97" s="647"/>
      <c r="U97" s="647"/>
      <c r="V97" s="647"/>
      <c r="W97" s="648"/>
      <c r="X97" s="630"/>
      <c r="Y97" s="631"/>
      <c r="Z97" s="631"/>
      <c r="AA97" s="631"/>
      <c r="AB97" s="632"/>
      <c r="AC97" s="649"/>
      <c r="AD97" s="650"/>
      <c r="AE97" s="651"/>
    </row>
    <row r="98" spans="2:37" ht="30" customHeight="1">
      <c r="C98" s="665"/>
      <c r="D98" s="550" t="str">
        <f>IF(C12="English","Bis(2-ethylhexyl) phthalate（DEHP）
(Another name : DOP) (CAS RN 117-81-7)",IF(C12="中文","邻苯二甲酸二（2-乙基己基）酯（DEHP)　 
别称 : DOP(CAS RN 117-81-7)","フタル酸ビス（2-エチルヘキシル）（DEHP）
別称：DOP(CAS RN 117-81-7) "))</f>
        <v>Bis(2-ethylhexyl) phthalate（DEHP）
(Another name : DOP) (CAS RN 117-81-7)</v>
      </c>
      <c r="E98" s="551"/>
      <c r="F98" s="551"/>
      <c r="G98" s="551"/>
      <c r="H98" s="551"/>
      <c r="I98" s="551"/>
      <c r="J98" s="551"/>
      <c r="K98" s="551"/>
      <c r="L98" s="551"/>
      <c r="M98" s="551"/>
      <c r="N98" s="551"/>
      <c r="O98" s="551"/>
      <c r="P98" s="552"/>
      <c r="Q98" s="652" t="str">
        <f>IF(C12="English","Uses for not electrical and electronic equipment,
and for Toys or childcare products",IF(C12="中文","電気電子機器以外用途
和玩具、育児制品用途","電気電子機器以外の用途および玩具、
育児製品用途"))</f>
        <v>Uses for not electrical and electronic equipment,
and for Toys or childcare products</v>
      </c>
      <c r="R98" s="653"/>
      <c r="S98" s="653"/>
      <c r="T98" s="653"/>
      <c r="U98" s="653"/>
      <c r="V98" s="653"/>
      <c r="W98" s="654"/>
      <c r="X98" s="541" t="str">
        <f>IF(C12="English","DEHP, DBP,
BBP, DIBP
Total of 4 
substances is less
than 1,000",IF(C12="中文","DEHP、DBP、
BBP、DIBP
4种物质总量：
1,000","DEHP、DBP、
BBP、DIBP
4物質の合計：
1,000"))</f>
        <v>DEHP, DBP,
BBP, DIBP
Total of 4 
substances is less
than 1,000</v>
      </c>
      <c r="Y98" s="542"/>
      <c r="Z98" s="542"/>
      <c r="AA98" s="542"/>
      <c r="AB98" s="543"/>
      <c r="AC98" s="577"/>
      <c r="AD98" s="578"/>
      <c r="AE98" s="615"/>
    </row>
    <row r="99" spans="2:37" ht="30" customHeight="1">
      <c r="C99" s="665"/>
      <c r="D99" s="503" t="str">
        <f>IF(C12="English","Dibutyl phthalate（DBP）
(CAS RN 84-74-2)",IF(C12="中文","邻苯二甲酸二丁酯（DBP）
(CAS RN 84-74-2)","フタル酸ジブチル（DBP）
(CAS RN 84-74-2)"))</f>
        <v>Dibutyl phthalate（DBP）
(CAS RN 84-74-2)</v>
      </c>
      <c r="E99" s="504"/>
      <c r="F99" s="504"/>
      <c r="G99" s="504"/>
      <c r="H99" s="504"/>
      <c r="I99" s="504"/>
      <c r="J99" s="504"/>
      <c r="K99" s="504"/>
      <c r="L99" s="504"/>
      <c r="M99" s="504"/>
      <c r="N99" s="504"/>
      <c r="O99" s="504"/>
      <c r="P99" s="505"/>
      <c r="Q99" s="655"/>
      <c r="R99" s="656"/>
      <c r="S99" s="656"/>
      <c r="T99" s="656"/>
      <c r="U99" s="656"/>
      <c r="V99" s="656"/>
      <c r="W99" s="657"/>
      <c r="X99" s="544"/>
      <c r="Y99" s="545"/>
      <c r="Z99" s="545"/>
      <c r="AA99" s="545"/>
      <c r="AB99" s="546"/>
      <c r="AC99" s="580"/>
      <c r="AD99" s="581"/>
      <c r="AE99" s="626"/>
    </row>
    <row r="100" spans="2:37" ht="30" customHeight="1">
      <c r="C100" s="665"/>
      <c r="D100" s="503" t="str">
        <f>IF(C12="English","Benzyl butyl phthalate (BBP)
(CAS RN 85-68-7)",IF(C12="中文","邻苯二甲酸丁苄酯（BBP）
(CAS RN 85-68-7)","フタル酸ブチルベンジル(BBP)
(CAS RN 85-68-7)"))</f>
        <v>Benzyl butyl phthalate (BBP)
(CAS RN 85-68-7)</v>
      </c>
      <c r="E100" s="504"/>
      <c r="F100" s="504"/>
      <c r="G100" s="504"/>
      <c r="H100" s="504"/>
      <c r="I100" s="504"/>
      <c r="J100" s="504"/>
      <c r="K100" s="504"/>
      <c r="L100" s="504"/>
      <c r="M100" s="504"/>
      <c r="N100" s="504"/>
      <c r="O100" s="504"/>
      <c r="P100" s="505"/>
      <c r="Q100" s="655"/>
      <c r="R100" s="656"/>
      <c r="S100" s="656"/>
      <c r="T100" s="656"/>
      <c r="U100" s="656"/>
      <c r="V100" s="656"/>
      <c r="W100" s="657"/>
      <c r="X100" s="544"/>
      <c r="Y100" s="545"/>
      <c r="Z100" s="545"/>
      <c r="AA100" s="545"/>
      <c r="AB100" s="546"/>
      <c r="AC100" s="580"/>
      <c r="AD100" s="581"/>
      <c r="AE100" s="626"/>
    </row>
    <row r="101" spans="2:37" ht="30" customHeight="1">
      <c r="C101" s="666"/>
      <c r="D101" s="509" t="str">
        <f>IF(C12="English","Diisobutyl phthalate (DIBP)
(CAS RN84-69-5)",IF(C12="中文","邻苯二甲酸二异丁酯（DIBP）
(CAS RN 84-69-5)","フタル酸ジイソブチル (DIBP)
(CAS RN 84-69-5)"))</f>
        <v>Diisobutyl phthalate (DIBP)
(CAS RN84-69-5)</v>
      </c>
      <c r="E101" s="510"/>
      <c r="F101" s="510"/>
      <c r="G101" s="510"/>
      <c r="H101" s="510"/>
      <c r="I101" s="510"/>
      <c r="J101" s="510"/>
      <c r="K101" s="510"/>
      <c r="L101" s="510"/>
      <c r="M101" s="510"/>
      <c r="N101" s="510"/>
      <c r="O101" s="510"/>
      <c r="P101" s="511"/>
      <c r="Q101" s="658"/>
      <c r="R101" s="659"/>
      <c r="S101" s="659"/>
      <c r="T101" s="659"/>
      <c r="U101" s="659"/>
      <c r="V101" s="659"/>
      <c r="W101" s="660"/>
      <c r="X101" s="661"/>
      <c r="Y101" s="662"/>
      <c r="Z101" s="662"/>
      <c r="AA101" s="662"/>
      <c r="AB101" s="663"/>
      <c r="AC101" s="627"/>
      <c r="AD101" s="628"/>
      <c r="AE101" s="629"/>
    </row>
    <row r="102" spans="2:37" ht="15" customHeight="1">
      <c r="C102" s="520">
        <v>8</v>
      </c>
      <c r="D102" s="638" t="str">
        <f>IF(C12="English","Phthalate esters 3 substances below",IF(C12="中文","邻苯二甲酸酯 下述3种物质","フタル酸エステル　下記3物質"))</f>
        <v>Phthalate esters 3 substances below</v>
      </c>
      <c r="E102" s="644"/>
      <c r="F102" s="644"/>
      <c r="G102" s="644"/>
      <c r="H102" s="644"/>
      <c r="I102" s="644"/>
      <c r="J102" s="644"/>
      <c r="K102" s="644"/>
      <c r="L102" s="644"/>
      <c r="M102" s="644"/>
      <c r="N102" s="644"/>
      <c r="O102" s="644"/>
      <c r="P102" s="645"/>
      <c r="Q102" s="646"/>
      <c r="R102" s="647"/>
      <c r="S102" s="647"/>
      <c r="T102" s="647"/>
      <c r="U102" s="647"/>
      <c r="V102" s="647"/>
      <c r="W102" s="648"/>
      <c r="X102" s="630"/>
      <c r="Y102" s="631"/>
      <c r="Z102" s="631"/>
      <c r="AA102" s="631"/>
      <c r="AB102" s="632"/>
      <c r="AC102" s="649"/>
      <c r="AD102" s="650"/>
      <c r="AE102" s="651"/>
    </row>
    <row r="103" spans="2:37" ht="45" customHeight="1">
      <c r="C103" s="521"/>
      <c r="D103" s="550" t="str">
        <f>IF(C12="English","Diisononyl phthalate（DINP）
(CAS RN 28553-12-0)
(CAS RN68515-48-0)",IF(C12="中文","邻苯二甲酸二异壬酯（DINP）
(CAS RN 28553-12-0)
(CAS RN68515-48-0)","フタル酸ジイソノニル（DINP）
(CAS RN 28553-12-0)
(CAS RN68515-48-0)"))</f>
        <v>Diisononyl phthalate（DINP）
(CAS RN 28553-12-0)
(CAS RN68515-48-0)</v>
      </c>
      <c r="E103" s="551"/>
      <c r="F103" s="551"/>
      <c r="G103" s="551"/>
      <c r="H103" s="551"/>
      <c r="I103" s="551"/>
      <c r="J103" s="551"/>
      <c r="K103" s="551"/>
      <c r="L103" s="551"/>
      <c r="M103" s="551"/>
      <c r="N103" s="551"/>
      <c r="O103" s="551"/>
      <c r="P103" s="552"/>
      <c r="Q103" s="670" t="str">
        <f>IF(C12="English","Toys or childcare products",IF(C12="中文","玩具、育児制品用途","玩具、育児製品用途"))</f>
        <v>Toys or childcare products</v>
      </c>
      <c r="R103" s="671"/>
      <c r="S103" s="671"/>
      <c r="T103" s="671"/>
      <c r="U103" s="671"/>
      <c r="V103" s="671"/>
      <c r="W103" s="672"/>
      <c r="X103" s="541" t="str">
        <f>IF(C12="English","DINP, DIDP, 
DNOP
Total of 3
substances is less
than 1,000",IF(C12="中文","DINP、DIDP、
DNOP 
3种物质总量：
1,000","DINP、DIDP、
DNOP 
3物質の合計：
1,000"))</f>
        <v>DINP, DIDP, 
DNOP
Total of 3
substances is less
than 1,000</v>
      </c>
      <c r="Y103" s="542"/>
      <c r="Z103" s="542"/>
      <c r="AA103" s="542"/>
      <c r="AB103" s="543"/>
      <c r="AC103" s="577"/>
      <c r="AD103" s="578"/>
      <c r="AE103" s="615"/>
    </row>
    <row r="104" spans="2:37" ht="30" customHeight="1">
      <c r="C104" s="521"/>
      <c r="D104" s="503" t="str">
        <f>IF(C12="English","Diisodecyl phthalate（DIDP）
(CAS RN 26761-40-0)",IF(C12="中文","邻邻苯二甲酸二异癸酯（DIDP）
(CAS RN 26761-40-0)","フタル酸ジイソデシル（DIDP）
(CAS RN 26761-40-0)"))</f>
        <v>Diisodecyl phthalate（DIDP）
(CAS RN 26761-40-0)</v>
      </c>
      <c r="E104" s="504"/>
      <c r="F104" s="504"/>
      <c r="G104" s="504"/>
      <c r="H104" s="504"/>
      <c r="I104" s="504"/>
      <c r="J104" s="504"/>
      <c r="K104" s="504"/>
      <c r="L104" s="504"/>
      <c r="M104" s="504"/>
      <c r="N104" s="504"/>
      <c r="O104" s="504"/>
      <c r="P104" s="505"/>
      <c r="Q104" s="673"/>
      <c r="R104" s="674"/>
      <c r="S104" s="674"/>
      <c r="T104" s="674"/>
      <c r="U104" s="674"/>
      <c r="V104" s="674"/>
      <c r="W104" s="675"/>
      <c r="X104" s="544"/>
      <c r="Y104" s="545"/>
      <c r="Z104" s="545"/>
      <c r="AA104" s="545"/>
      <c r="AB104" s="546"/>
      <c r="AC104" s="580"/>
      <c r="AD104" s="581"/>
      <c r="AE104" s="626"/>
    </row>
    <row r="105" spans="2:37" ht="30" customHeight="1">
      <c r="C105" s="522"/>
      <c r="D105" s="509" t="str">
        <f>IF(C12="English","Di-n-octyl phthalate（DNOP）
(CAS RN 117-84-0)",IF(C12="中文","邻苯二甲酸二正辛酯（DNOP）
(CAS RN 117-84-0)","フタル酸ジ-ｎ-オクチル（DNOP）
(CAS RN 117-84-0)"))</f>
        <v>Di-n-octyl phthalate（DNOP）
(CAS RN 117-84-0)</v>
      </c>
      <c r="E105" s="510"/>
      <c r="F105" s="510"/>
      <c r="G105" s="510"/>
      <c r="H105" s="510"/>
      <c r="I105" s="510"/>
      <c r="J105" s="510"/>
      <c r="K105" s="510"/>
      <c r="L105" s="510"/>
      <c r="M105" s="510"/>
      <c r="N105" s="510"/>
      <c r="O105" s="510"/>
      <c r="P105" s="511"/>
      <c r="Q105" s="676"/>
      <c r="R105" s="677"/>
      <c r="S105" s="677"/>
      <c r="T105" s="677"/>
      <c r="U105" s="677"/>
      <c r="V105" s="677"/>
      <c r="W105" s="678"/>
      <c r="X105" s="661"/>
      <c r="Y105" s="662"/>
      <c r="Z105" s="662"/>
      <c r="AA105" s="662"/>
      <c r="AB105" s="663"/>
      <c r="AC105" s="627"/>
      <c r="AD105" s="628"/>
      <c r="AE105" s="629"/>
    </row>
    <row r="106" spans="2:37" ht="15" customHeight="1">
      <c r="C106" s="152"/>
      <c r="D106" s="165"/>
      <c r="E106" s="166"/>
      <c r="F106" s="166"/>
      <c r="G106" s="166"/>
      <c r="H106" s="166"/>
      <c r="I106" s="166"/>
      <c r="J106" s="166"/>
      <c r="K106" s="166"/>
      <c r="L106" s="166"/>
      <c r="M106" s="166"/>
      <c r="N106" s="166"/>
      <c r="O106" s="166"/>
      <c r="P106" s="166"/>
      <c r="Q106" s="157"/>
      <c r="R106" s="83"/>
      <c r="S106" s="83"/>
      <c r="T106" s="83"/>
      <c r="U106" s="83"/>
      <c r="V106" s="83"/>
      <c r="W106" s="83"/>
      <c r="X106" s="162"/>
      <c r="Y106" s="166"/>
      <c r="Z106" s="166"/>
      <c r="AA106" s="166"/>
      <c r="AB106" s="166"/>
      <c r="AC106" s="164"/>
      <c r="AD106" s="164"/>
      <c r="AE106" s="114"/>
    </row>
    <row r="107" spans="2:37" ht="13.5" customHeight="1">
      <c r="B107" s="30"/>
      <c r="C107" s="199"/>
      <c r="D107" s="31"/>
      <c r="E107" s="31"/>
      <c r="F107" s="31"/>
      <c r="G107" s="31"/>
      <c r="H107" s="31"/>
      <c r="I107" s="31"/>
      <c r="J107" s="31"/>
      <c r="K107" s="31"/>
      <c r="L107" s="31"/>
      <c r="M107" s="31"/>
      <c r="N107" s="31"/>
      <c r="O107" s="31"/>
      <c r="P107" s="31"/>
      <c r="Q107" s="157"/>
      <c r="R107" s="157"/>
      <c r="S107" s="157"/>
      <c r="T107" s="157"/>
      <c r="U107" s="34"/>
      <c r="V107" s="34"/>
      <c r="W107" s="34"/>
      <c r="X107" s="157"/>
      <c r="Y107" s="157"/>
      <c r="Z107" s="32"/>
      <c r="AA107" s="157"/>
      <c r="AB107" s="157"/>
      <c r="AC107" s="115"/>
      <c r="AD107" s="115"/>
      <c r="AE107" s="115"/>
      <c r="AH107" s="3"/>
      <c r="AI107" s="3"/>
      <c r="AJ107" s="3"/>
      <c r="AK107" s="3"/>
    </row>
    <row r="108" spans="2:37" ht="40.049999999999997" customHeight="1">
      <c r="C108" s="159">
        <v>9</v>
      </c>
      <c r="D108" s="523" t="str">
        <f>IF(C12="English","Polychlorinated biphenyls (PCB)",IF(C12="中文","PCB；多氯化联苯","PCB；ポリ塩化ビフェニル"))</f>
        <v>Polychlorinated biphenyls (PCB)</v>
      </c>
      <c r="E108" s="524"/>
      <c r="F108" s="524"/>
      <c r="G108" s="524"/>
      <c r="H108" s="524"/>
      <c r="I108" s="524"/>
      <c r="J108" s="524"/>
      <c r="K108" s="524"/>
      <c r="L108" s="524"/>
      <c r="M108" s="524"/>
      <c r="N108" s="524"/>
      <c r="O108" s="524"/>
      <c r="P108" s="525"/>
      <c r="Q108" s="667" t="str">
        <f>IF(C12="English","All uses",IF(C12="中文","所有用途","全ての用途"))</f>
        <v>All uses</v>
      </c>
      <c r="R108" s="668"/>
      <c r="S108" s="668"/>
      <c r="T108" s="668"/>
      <c r="U108" s="668"/>
      <c r="V108" s="668"/>
      <c r="W108" s="669"/>
      <c r="X108" s="605" t="str">
        <f>IF(C12="English","Intentionally added or 50",IF(C12="中文","禁止有意添加
且　50","意図的添加禁止
且つ 50"))</f>
        <v>Intentionally added or 50</v>
      </c>
      <c r="Y108" s="606"/>
      <c r="Z108" s="606"/>
      <c r="AA108" s="606"/>
      <c r="AB108" s="607"/>
      <c r="AC108" s="506"/>
      <c r="AD108" s="507"/>
      <c r="AE108" s="508"/>
    </row>
    <row r="109" spans="2:37" ht="40.049999999999997" customHeight="1">
      <c r="C109" s="159">
        <v>10</v>
      </c>
      <c r="D109" s="523" t="str">
        <f>IF(C12="English","Polychlorinated naphthalenes (PCN)
(1 or more chlorine atoms)",IF(C12="中文","PCN；聚氯化萘
(氯数 1以上)","PCN；ポリ塩化ナフタレン
(塩素数 1以上)"))</f>
        <v>Polychlorinated naphthalenes (PCN)
(1 or more chlorine atoms)</v>
      </c>
      <c r="E109" s="524"/>
      <c r="F109" s="524"/>
      <c r="G109" s="524"/>
      <c r="H109" s="524"/>
      <c r="I109" s="524"/>
      <c r="J109" s="524"/>
      <c r="K109" s="524"/>
      <c r="L109" s="524"/>
      <c r="M109" s="524"/>
      <c r="N109" s="524"/>
      <c r="O109" s="524"/>
      <c r="P109" s="525"/>
      <c r="Q109" s="667" t="str">
        <f>IF(C12="English","All uses",IF(C12="中文","所有用途","全ての用途"))</f>
        <v>All uses</v>
      </c>
      <c r="R109" s="668"/>
      <c r="S109" s="668"/>
      <c r="T109" s="668"/>
      <c r="U109" s="668"/>
      <c r="V109" s="668"/>
      <c r="W109" s="669"/>
      <c r="X109" s="605" t="str">
        <f>IF(C12="English","Intentionally added or 50",IF(C12="中文","禁止有意添加
且　50","意図的添加禁止
且つ 50"))</f>
        <v>Intentionally added or 50</v>
      </c>
      <c r="Y109" s="606"/>
      <c r="Z109" s="606"/>
      <c r="AA109" s="606"/>
      <c r="AB109" s="607"/>
      <c r="AC109" s="506"/>
      <c r="AD109" s="507"/>
      <c r="AE109" s="508"/>
    </row>
    <row r="110" spans="2:37" ht="40.049999999999997" customHeight="1">
      <c r="C110" s="159">
        <v>11</v>
      </c>
      <c r="D110" s="523" t="str">
        <f>IF(C12="English","Polychlorinated terphenyls (PCT)",IF(C12="中文","PCT；聚氯三联苯","PCT；ポリ塩化ターフェニル"))</f>
        <v>Polychlorinated terphenyls (PCT)</v>
      </c>
      <c r="E110" s="524"/>
      <c r="F110" s="524"/>
      <c r="G110" s="524"/>
      <c r="H110" s="524"/>
      <c r="I110" s="524"/>
      <c r="J110" s="524"/>
      <c r="K110" s="524"/>
      <c r="L110" s="524"/>
      <c r="M110" s="524"/>
      <c r="N110" s="524"/>
      <c r="O110" s="524"/>
      <c r="P110" s="525"/>
      <c r="Q110" s="667" t="str">
        <f>IF(C12="English","All uses",IF(C12="中文","所有用途","全ての用途"))</f>
        <v>All uses</v>
      </c>
      <c r="R110" s="668"/>
      <c r="S110" s="668"/>
      <c r="T110" s="668"/>
      <c r="U110" s="668"/>
      <c r="V110" s="668"/>
      <c r="W110" s="669"/>
      <c r="X110" s="605" t="str">
        <f>IF(C12="English","Intentionally added or 50",IF(C12="中文","禁止有意添加
且　50","意図的添加禁止
且つ 50"))</f>
        <v>Intentionally added or 50</v>
      </c>
      <c r="Y110" s="606"/>
      <c r="Z110" s="606"/>
      <c r="AA110" s="606"/>
      <c r="AB110" s="607"/>
      <c r="AC110" s="506"/>
      <c r="AD110" s="507"/>
      <c r="AE110" s="508"/>
    </row>
    <row r="111" spans="2:37" ht="30" customHeight="1">
      <c r="C111" s="159">
        <v>12</v>
      </c>
      <c r="D111" s="523" t="str">
        <f>IF(C12="English","Asbestos",IF(C12="中文","石棉类","アスベスト類"))</f>
        <v>Asbestos</v>
      </c>
      <c r="E111" s="524"/>
      <c r="F111" s="524"/>
      <c r="G111" s="524"/>
      <c r="H111" s="524"/>
      <c r="I111" s="524"/>
      <c r="J111" s="524"/>
      <c r="K111" s="524"/>
      <c r="L111" s="524"/>
      <c r="M111" s="524"/>
      <c r="N111" s="524"/>
      <c r="O111" s="524"/>
      <c r="P111" s="525"/>
      <c r="Q111" s="667" t="str">
        <f>IF(C12="English","All uses",IF(C12="中文","所有用途","全ての用途"))</f>
        <v>All uses</v>
      </c>
      <c r="R111" s="668"/>
      <c r="S111" s="668"/>
      <c r="T111" s="668"/>
      <c r="U111" s="668"/>
      <c r="V111" s="668"/>
      <c r="W111" s="669"/>
      <c r="X111" s="605" t="str">
        <f>IF(C12="English","Intentionally 
added",IF(C12="中文","禁止有意添加","意図的添加禁止"))</f>
        <v>Intentionally 
added</v>
      </c>
      <c r="Y111" s="606"/>
      <c r="Z111" s="606"/>
      <c r="AA111" s="606"/>
      <c r="AB111" s="607"/>
      <c r="AC111" s="506"/>
      <c r="AD111" s="507"/>
      <c r="AE111" s="508"/>
    </row>
    <row r="112" spans="2:37" ht="50.1" customHeight="1">
      <c r="C112" s="159">
        <v>13</v>
      </c>
      <c r="D112" s="523" t="str">
        <f>IF(C12="English","Short-chain chlorinated paraffin
(carbon number 10-13)（CASRN85535-84-8）",IF(C12="中文","短链氯化石蜡(碳数10-13)
(CAS RN85535-84-8）","短鎖塩素化パラフィン(炭素数10-13)
(CAS RN85535-84-8）"))</f>
        <v>Short-chain chlorinated paraffin
(carbon number 10-13)（CASRN85535-84-8）</v>
      </c>
      <c r="E112" s="524"/>
      <c r="F112" s="524"/>
      <c r="G112" s="524"/>
      <c r="H112" s="524"/>
      <c r="I112" s="524"/>
      <c r="J112" s="524"/>
      <c r="K112" s="524"/>
      <c r="L112" s="524"/>
      <c r="M112" s="524"/>
      <c r="N112" s="524"/>
      <c r="O112" s="524"/>
      <c r="P112" s="525"/>
      <c r="Q112" s="667" t="str">
        <f>IF(C12="English","All uses",IF(C12="中文","所有用途","全ての用途"))</f>
        <v>All uses</v>
      </c>
      <c r="R112" s="668"/>
      <c r="S112" s="668"/>
      <c r="T112" s="668"/>
      <c r="U112" s="668"/>
      <c r="V112" s="668"/>
      <c r="W112" s="669"/>
      <c r="X112" s="605" t="str">
        <f>IF(C12="English","Intentionally added or 1,000",IF(C12="中文","禁止有意添加
且　1,000","意図的添加禁止
且つ 1,000"))</f>
        <v>Intentionally added or 1,000</v>
      </c>
      <c r="Y112" s="606"/>
      <c r="Z112" s="606"/>
      <c r="AA112" s="606"/>
      <c r="AB112" s="607"/>
      <c r="AC112" s="506"/>
      <c r="AD112" s="507"/>
      <c r="AE112" s="508"/>
    </row>
    <row r="113" spans="3:31" ht="120" customHeight="1">
      <c r="C113" s="168">
        <v>14</v>
      </c>
      <c r="D113" s="523" t="str">
        <f>IF(C12="English","Ozone Depleting Substances
* Montreal Protocol on Substances that Deplete the Ozone Layer
Appendix A (Group I, II)
Appendix B (Group I, II, III)
Appendix C (Group I, II, III)
Appendix E (Group I)",IF(C12="中文","臭氧层消耗物质   *蒙特利尔协议
附属文件A（类别Ⅰ, Ⅱ）
附属文件B（类别Ⅰ, Ⅱ, Ⅲ）
附属文件C（类别Ⅰ, Ⅱ, Ⅲ）
附属文件E（类别Ⅰ）
","オゾン層破壊物質
*モントリオール議定書
附属書A（グループⅠ、Ⅱ）
附属書B（グループⅠ、Ⅱ、Ⅲ）
附属書C（グループⅠ、Ⅱ、Ⅲ）
附属書E（グループⅠ）"))</f>
        <v>Ozone Depleting Substances
* Montreal Protocol on Substances that Deplete the Ozone Layer
Appendix A (Group I, II)
Appendix B (Group I, II, III)
Appendix C (Group I, II, III)
Appendix E (Group I)</v>
      </c>
      <c r="E113" s="524"/>
      <c r="F113" s="524"/>
      <c r="G113" s="524"/>
      <c r="H113" s="524"/>
      <c r="I113" s="524"/>
      <c r="J113" s="524"/>
      <c r="K113" s="524"/>
      <c r="L113" s="524"/>
      <c r="M113" s="524"/>
      <c r="N113" s="524"/>
      <c r="O113" s="524"/>
      <c r="P113" s="525"/>
      <c r="Q113" s="667" t="str">
        <f>IF(C12="English","All uses",IF(C12="中文","所有用途","全ての用途"))</f>
        <v>All uses</v>
      </c>
      <c r="R113" s="668"/>
      <c r="S113" s="668"/>
      <c r="T113" s="668"/>
      <c r="U113" s="668"/>
      <c r="V113" s="668"/>
      <c r="W113" s="669"/>
      <c r="X113" s="605" t="str">
        <f>IF(C12="English","Intentionally 
added",IF(C12="中文","禁止有意添加","意図的添加禁止"))</f>
        <v>Intentionally 
added</v>
      </c>
      <c r="Y113" s="606"/>
      <c r="Z113" s="606"/>
      <c r="AA113" s="606"/>
      <c r="AB113" s="607"/>
      <c r="AC113" s="506"/>
      <c r="AD113" s="507"/>
      <c r="AE113" s="508"/>
    </row>
    <row r="114" spans="3:31" ht="30" customHeight="1">
      <c r="C114" s="160">
        <v>15</v>
      </c>
      <c r="D114" s="679" t="str">
        <f>IF(C12="English","Hydrofluorocarbon (HFC), Perfluoro carbon (PFC), Sulfur hexafluoride(SF6)",IF(C12="中文","氢氟烃（HFC)、全氟碳(PFC)、六氟化硫（SF6）","ハイドロフルオロカーボン（HFC)、パーフルオロカーボン(PFC)、六フッ化硫黄（SF6）"))</f>
        <v>Hydrofluorocarbon (HFC), Perfluoro carbon (PFC), Sulfur hexafluoride(SF6)</v>
      </c>
      <c r="E114" s="680"/>
      <c r="F114" s="680"/>
      <c r="G114" s="680"/>
      <c r="H114" s="680"/>
      <c r="I114" s="680"/>
      <c r="J114" s="680"/>
      <c r="K114" s="680"/>
      <c r="L114" s="680"/>
      <c r="M114" s="680"/>
      <c r="N114" s="680"/>
      <c r="O114" s="680"/>
      <c r="P114" s="681"/>
      <c r="Q114" s="667" t="str">
        <f>IF(C12="English","All uses",IF(C12="中文","所有用途","全ての用途"))</f>
        <v>All uses</v>
      </c>
      <c r="R114" s="668"/>
      <c r="S114" s="668"/>
      <c r="T114" s="668"/>
      <c r="U114" s="668"/>
      <c r="V114" s="668"/>
      <c r="W114" s="669"/>
      <c r="X114" s="605" t="str">
        <f>IF(C12="English","Intentionally 
added",IF(C12="中文","禁止有意添加","意図的添加禁止"))</f>
        <v>Intentionally 
added</v>
      </c>
      <c r="Y114" s="606"/>
      <c r="Z114" s="606"/>
      <c r="AA114" s="606"/>
      <c r="AB114" s="607"/>
      <c r="AC114" s="506"/>
      <c r="AD114" s="507"/>
      <c r="AE114" s="508"/>
    </row>
    <row r="115" spans="3:31" ht="70.05" customHeight="1">
      <c r="C115" s="160">
        <v>16</v>
      </c>
      <c r="D115" s="679" t="str">
        <f>IF(C12="English","Bis (tributyl tin) = oxide (TBTO)
CASRN56-35-9）",IF(C12="中文","双（三丁基锡）=氧化物；TBTO
(CAS RN 56-35-9)","ビス（トリブチルスズ）=オキシド；TBTO
(CAS RN 56-35-9)"))</f>
        <v>Bis (tributyl tin) = oxide (TBTO)
CASRN56-35-9）</v>
      </c>
      <c r="E115" s="680"/>
      <c r="F115" s="680"/>
      <c r="G115" s="680"/>
      <c r="H115" s="680"/>
      <c r="I115" s="680"/>
      <c r="J115" s="680"/>
      <c r="K115" s="680"/>
      <c r="L115" s="680"/>
      <c r="M115" s="680"/>
      <c r="N115" s="680"/>
      <c r="O115" s="680"/>
      <c r="P115" s="681"/>
      <c r="Q115" s="667" t="str">
        <f>IF(C12="English","All uses",IF(C12="中文","所有用途","全ての用途"))</f>
        <v>All uses</v>
      </c>
      <c r="R115" s="668"/>
      <c r="S115" s="668"/>
      <c r="T115" s="668"/>
      <c r="U115" s="668"/>
      <c r="V115" s="668"/>
      <c r="W115" s="669"/>
      <c r="X115" s="605" t="str">
        <f>IF(C12="English","Intentionally added 
or 1,000ppm 
as Tin atom",IF(C12="中文","禁止有意添加
且　
锡元素1,000","意図的添加禁止
且つ
スズ元素として1,000"))</f>
        <v>Intentionally added 
or 1,000ppm 
as Tin atom</v>
      </c>
      <c r="Y115" s="606"/>
      <c r="Z115" s="606"/>
      <c r="AA115" s="606"/>
      <c r="AB115" s="607"/>
      <c r="AC115" s="506"/>
      <c r="AD115" s="507"/>
      <c r="AE115" s="508"/>
    </row>
    <row r="116" spans="3:31" ht="70.05" customHeight="1">
      <c r="C116" s="159">
        <v>17</v>
      </c>
      <c r="D116" s="638" t="str">
        <f>IF(C12="English","Trisubstituted organotin (Tributyl tin (TBT) compounds, Triphenyl tin (TPT) compounds, etc.)",IF(C12="中文","三取代有机锡化合物(三丁基锡（TBT）化合物、三苯基锡（TPT）化合物等）","三置換有機スズ化合物（トリブチルスズ(TBT)化合物、トリフェニルスズ(TPT)化合物など）"))</f>
        <v>Trisubstituted organotin (Tributyl tin (TBT) compounds, Triphenyl tin (TPT) compounds, etc.)</v>
      </c>
      <c r="E116" s="644"/>
      <c r="F116" s="644"/>
      <c r="G116" s="644"/>
      <c r="H116" s="644"/>
      <c r="I116" s="644"/>
      <c r="J116" s="644"/>
      <c r="K116" s="644"/>
      <c r="L116" s="644"/>
      <c r="M116" s="644"/>
      <c r="N116" s="644"/>
      <c r="O116" s="644"/>
      <c r="P116" s="645"/>
      <c r="Q116" s="667" t="str">
        <f>IF(C12="English","All uses",IF(C12="中文","所有用途","全ての用途"))</f>
        <v>All uses</v>
      </c>
      <c r="R116" s="668"/>
      <c r="S116" s="668"/>
      <c r="T116" s="668"/>
      <c r="U116" s="668"/>
      <c r="V116" s="668"/>
      <c r="W116" s="669"/>
      <c r="X116" s="605" t="str">
        <f>IF(C12="English","Intentionally added 
or 1,000ppm 
as Tin atom",IF(C12="中文","禁止有意添加
且　
锡元素1,000","意図的添加禁止
且つ
スズ元素として1,000"))</f>
        <v>Intentionally added 
or 1,000ppm 
as Tin atom</v>
      </c>
      <c r="Y116" s="606"/>
      <c r="Z116" s="606"/>
      <c r="AA116" s="606"/>
      <c r="AB116" s="607"/>
      <c r="AC116" s="506"/>
      <c r="AD116" s="507"/>
      <c r="AE116" s="508"/>
    </row>
    <row r="117" spans="3:31" ht="30" customHeight="1">
      <c r="C117" s="159">
        <v>18</v>
      </c>
      <c r="D117" s="638" t="str">
        <f>IF(C12="English","Dibutyl tin (DBT) compounds",IF(C12="中文","二丁基锡(DBT)化合物","ジブチルスズ(DBT)化合物"))</f>
        <v>Dibutyl tin (DBT) compounds</v>
      </c>
      <c r="E117" s="644"/>
      <c r="F117" s="644"/>
      <c r="G117" s="644"/>
      <c r="H117" s="644"/>
      <c r="I117" s="644"/>
      <c r="J117" s="644"/>
      <c r="K117" s="644"/>
      <c r="L117" s="644"/>
      <c r="M117" s="644"/>
      <c r="N117" s="644"/>
      <c r="O117" s="644"/>
      <c r="P117" s="645"/>
      <c r="Q117" s="667" t="str">
        <f>IF(C12="English","All uses",IF(C12="中文","所有用途","全ての用途"))</f>
        <v>All uses</v>
      </c>
      <c r="R117" s="668"/>
      <c r="S117" s="668"/>
      <c r="T117" s="668"/>
      <c r="U117" s="668"/>
      <c r="V117" s="668"/>
      <c r="W117" s="669"/>
      <c r="X117" s="605" t="str">
        <f>IF(C12="English","1,000ppm as Tin atom",IF(C12="中文","锡元素1,000","スズ元素として1,000"))</f>
        <v>1,000ppm as Tin atom</v>
      </c>
      <c r="Y117" s="606"/>
      <c r="Z117" s="606"/>
      <c r="AA117" s="606"/>
      <c r="AB117" s="607"/>
      <c r="AC117" s="506"/>
      <c r="AD117" s="507"/>
      <c r="AE117" s="508"/>
    </row>
    <row r="118" spans="3:31" ht="147.75" customHeight="1">
      <c r="C118" s="159">
        <v>19</v>
      </c>
      <c r="D118" s="638" t="str">
        <f>IF(C12="English","Dioctyl tin (DOT) compounds",IF(C12="中文","二辛基锡(DOT)化合物","ジオクチルスズ(DOT)化合物"))</f>
        <v>Dioctyl tin (DOT) compounds</v>
      </c>
      <c r="E118" s="644"/>
      <c r="F118" s="644"/>
      <c r="G118" s="644"/>
      <c r="H118" s="644"/>
      <c r="I118" s="644"/>
      <c r="J118" s="644"/>
      <c r="K118" s="644"/>
      <c r="L118" s="644"/>
      <c r="M118" s="644"/>
      <c r="N118" s="644"/>
      <c r="O118" s="644"/>
      <c r="P118" s="645"/>
      <c r="Q118" s="638" t="str">
        <f>IF(C12="English","Only subject to the following:
・Textile products in contact with human skin
・Toys and childcare articles
・2 solutionat room temperature curing (RTV-2) molding kit",IF(C12="中文","仅适用于以下物品
・接触皮肤的纤维产品
・玩具、儿童用品、育儿产品
・双组分室温固化（RTV-2）成型试剂盒
","下記のみに適用
・皮膚に触れる繊維製品
・玩具、子供向け製品,育児製品
・2液室温硬化（RTV-2）成型キット"))</f>
        <v>Only subject to the following:
・Textile products in contact with human skin
・Toys and childcare articles
・2 solutionat room temperature curing (RTV-2) molding kit</v>
      </c>
      <c r="R118" s="644"/>
      <c r="S118" s="644"/>
      <c r="T118" s="644"/>
      <c r="U118" s="644"/>
      <c r="V118" s="644"/>
      <c r="W118" s="645"/>
      <c r="X118" s="605" t="str">
        <f>IF(C12="English","1,000ppm as Tin atom",IF(C12="中文","锡元素1,000","スズ元素として1,000"))</f>
        <v>1,000ppm as Tin atom</v>
      </c>
      <c r="Y118" s="606"/>
      <c r="Z118" s="606"/>
      <c r="AA118" s="606"/>
      <c r="AB118" s="607"/>
      <c r="AC118" s="506"/>
      <c r="AD118" s="507"/>
      <c r="AE118" s="508"/>
    </row>
    <row r="119" spans="3:31" ht="45" customHeight="1">
      <c r="C119" s="161">
        <v>20</v>
      </c>
      <c r="D119" s="679" t="str">
        <f>IF(C12="English","Specified amines compounds and some azo dye and pigment forming specified amines (coloring agent) (*1)",IF(C12="中文","特定胺化合物及生成特定胺类的部分偶氮染料及颜料（着色剂）（*1）","特定アミン化合物および特定アミン類を生成する一部のアゾ染料・顔料（着色剤）（*1）"))</f>
        <v>Specified amines compounds and some azo dye and pigment forming specified amines (coloring agent) (*1)</v>
      </c>
      <c r="E119" s="680"/>
      <c r="F119" s="680"/>
      <c r="G119" s="680"/>
      <c r="H119" s="680"/>
      <c r="I119" s="680"/>
      <c r="J119" s="680"/>
      <c r="K119" s="680"/>
      <c r="L119" s="680"/>
      <c r="M119" s="680"/>
      <c r="N119" s="680"/>
      <c r="O119" s="680"/>
      <c r="P119" s="681"/>
      <c r="Q119" s="679" t="str">
        <f>IF(C12="English","All uses",IF(C12="中文","所有用途","全ての用途"))</f>
        <v>All uses</v>
      </c>
      <c r="R119" s="680"/>
      <c r="S119" s="680"/>
      <c r="T119" s="680"/>
      <c r="U119" s="680"/>
      <c r="V119" s="680"/>
      <c r="W119" s="681"/>
      <c r="X119" s="605">
        <v>30</v>
      </c>
      <c r="Y119" s="606"/>
      <c r="Z119" s="606"/>
      <c r="AA119" s="606"/>
      <c r="AB119" s="607"/>
      <c r="AC119" s="506"/>
      <c r="AD119" s="507"/>
      <c r="AE119" s="508"/>
    </row>
    <row r="120" spans="3:31" ht="80.099999999999994" customHeight="1">
      <c r="C120" s="158">
        <v>21</v>
      </c>
      <c r="D120" s="679" t="str">
        <f>IF(C12="English","Formaldehyde; Formalin
(CAS RN 50-00-0)",IF(C12="中文","甲醛；福尔马林
(CAS RN 50-00-0)","ホルムアルデヒド；ホルマリン
(CAS RN 50-00-0)"))</f>
        <v>Formaldehyde; Formalin
(CAS RN 50-00-0)</v>
      </c>
      <c r="E120" s="680"/>
      <c r="F120" s="680"/>
      <c r="G120" s="680"/>
      <c r="H120" s="680"/>
      <c r="I120" s="680"/>
      <c r="J120" s="680"/>
      <c r="K120" s="680"/>
      <c r="L120" s="680"/>
      <c r="M120" s="680"/>
      <c r="N120" s="680"/>
      <c r="O120" s="680"/>
      <c r="P120" s="681"/>
      <c r="Q120" s="638" t="str">
        <f>IF(C12="English","Timber products (e.g. speakers and racks, etc.) which are made of fiber boards, particle board, or plywood",IF(C12="中文","使用纤维板、刨花板以及复合板的木工产品（扬声器、架子等）","繊維板（ファイバーボード）、パーティクルボードおよび合板を用いた木工製品（スピーカー、ラック等）"))</f>
        <v>Timber products (e.g. speakers and racks, etc.) which are made of fiber boards, particle board, or plywood</v>
      </c>
      <c r="R120" s="644"/>
      <c r="S120" s="644"/>
      <c r="T120" s="644"/>
      <c r="U120" s="644"/>
      <c r="V120" s="644"/>
      <c r="W120" s="645"/>
      <c r="X120" s="605" t="str">
        <f>IF(C12="English","0.1
（Chamber method: 
EN717-1:200)",IF(C12="中文","0.1
（测量值
密闭小室法）","0.1
（測定値
チャンバー法）"))</f>
        <v>0.1
（Chamber method: 
EN717-1:200)</v>
      </c>
      <c r="Y120" s="606"/>
      <c r="Z120" s="606"/>
      <c r="AA120" s="606"/>
      <c r="AB120" s="607"/>
      <c r="AC120" s="506"/>
      <c r="AD120" s="507"/>
      <c r="AE120" s="508"/>
    </row>
    <row r="121" spans="3:31" ht="15" customHeight="1">
      <c r="C121" s="152"/>
      <c r="D121" s="167"/>
      <c r="E121" s="167"/>
      <c r="F121" s="167"/>
      <c r="G121" s="167"/>
      <c r="H121" s="167"/>
      <c r="I121" s="167"/>
      <c r="J121" s="167"/>
      <c r="K121" s="167"/>
      <c r="L121" s="167"/>
      <c r="M121" s="167"/>
      <c r="N121" s="167"/>
      <c r="O121" s="167"/>
      <c r="P121" s="167"/>
      <c r="Q121" s="165"/>
      <c r="R121" s="165"/>
      <c r="S121" s="165"/>
      <c r="T121" s="165"/>
      <c r="U121" s="165"/>
      <c r="V121" s="165"/>
      <c r="W121" s="165"/>
      <c r="X121" s="47"/>
      <c r="Y121" s="47"/>
      <c r="Z121" s="47"/>
      <c r="AA121" s="47"/>
      <c r="AB121" s="47"/>
      <c r="AC121" s="164"/>
      <c r="AD121" s="164"/>
      <c r="AE121" s="164"/>
    </row>
    <row r="122" spans="3:31" ht="80.099999999999994" customHeight="1">
      <c r="C122" s="159">
        <v>22</v>
      </c>
      <c r="D122" s="638" t="str">
        <f>IF(C12="English","Nickel and its compounds",IF(C12="中文","镍及其化合物","ニッケルおよびその化合物"))</f>
        <v>Nickel and its compounds</v>
      </c>
      <c r="E122" s="644"/>
      <c r="F122" s="644"/>
      <c r="G122" s="644"/>
      <c r="H122" s="644"/>
      <c r="I122" s="644"/>
      <c r="J122" s="644"/>
      <c r="K122" s="644"/>
      <c r="L122" s="644"/>
      <c r="M122" s="644"/>
      <c r="N122" s="644"/>
      <c r="O122" s="644"/>
      <c r="P122" s="645"/>
      <c r="Q122" s="523" t="str">
        <f>IF(C12="English","Parts that are in contact with human skin for a prolonged time（e.g. earphones, headphones, etc.）",IF(C12="中文","长期接触皮肤的用途（耳机、耳麦等）","長期にわたり皮膚と接触する用途(イヤホン、ヘッドホン等)"))</f>
        <v>Parts that are in contact with human skin for a prolonged time（e.g. earphones, headphones, etc.）</v>
      </c>
      <c r="R122" s="524"/>
      <c r="S122" s="524"/>
      <c r="T122" s="524"/>
      <c r="U122" s="524"/>
      <c r="V122" s="524"/>
      <c r="W122" s="525"/>
      <c r="X122" s="523" t="str">
        <f>IF(C12="English","0.5μg/cm2/week
Test Standard
EN1811：2011
+A1：2015",IF(C12="中文","0.5μg/cm2/week
试验标准
EN1811：2011
+A1：2015","0.5μg/cm2/week
試験規格
EN1811：2011
+A1：2015"))</f>
        <v>0.5μg/cm2/week
Test Standard
EN1811：2011
+A1：2015</v>
      </c>
      <c r="Y122" s="524"/>
      <c r="Z122" s="524"/>
      <c r="AA122" s="524"/>
      <c r="AB122" s="525"/>
      <c r="AC122" s="506"/>
      <c r="AD122" s="507"/>
      <c r="AE122" s="508"/>
    </row>
    <row r="123" spans="3:31" ht="70.05" customHeight="1">
      <c r="C123" s="159">
        <v>23</v>
      </c>
      <c r="D123" s="638" t="str">
        <f>IF(C12="English","Arsenic and its compounds
(including Diarsenic trioxide, Diarsenic pentoxide）",IF(C12="中文","砷及其化合物
（包括三氧化二砷、五氧化二砷）","ヒ素およびその化合物
（三酸化二ヒ素、五酸化二ヒ素を含む）"))</f>
        <v>Arsenic and its compounds
(including Diarsenic trioxide, Diarsenic pentoxide）</v>
      </c>
      <c r="E123" s="644"/>
      <c r="F123" s="644"/>
      <c r="G123" s="644"/>
      <c r="H123" s="644"/>
      <c r="I123" s="644"/>
      <c r="J123" s="644"/>
      <c r="K123" s="644"/>
      <c r="L123" s="644"/>
      <c r="M123" s="644"/>
      <c r="N123" s="644"/>
      <c r="O123" s="644"/>
      <c r="P123" s="645"/>
      <c r="Q123" s="523" t="str">
        <f>IF(C12="English","Only use of Wood preservatives, Antifoam agents or fining agents for the glasses",IF(C12="中文","仅适用于木材防腐剤、玻璃消泡剂、澄清剂等用途","木材の防腐剤、ガラスの消泡剤、清澄剤としての用途のみ適用"))</f>
        <v>Only use of Wood preservatives, Antifoam agents or fining agents for the glasses</v>
      </c>
      <c r="R123" s="524"/>
      <c r="S123" s="524"/>
      <c r="T123" s="524"/>
      <c r="U123" s="524"/>
      <c r="V123" s="524"/>
      <c r="W123" s="525"/>
      <c r="X123" s="630">
        <v>1000</v>
      </c>
      <c r="Y123" s="631"/>
      <c r="Z123" s="631"/>
      <c r="AA123" s="631"/>
      <c r="AB123" s="632"/>
      <c r="AC123" s="506"/>
      <c r="AD123" s="507"/>
      <c r="AE123" s="508"/>
    </row>
    <row r="124" spans="3:31" ht="30" customHeight="1">
      <c r="C124" s="159">
        <v>24</v>
      </c>
      <c r="D124" s="523" t="str">
        <f>IF(C12="English","Radioactive substances",IF(C12="中文","放射性物质","放射性物質"))</f>
        <v>Radioactive substances</v>
      </c>
      <c r="E124" s="524"/>
      <c r="F124" s="524"/>
      <c r="G124" s="524"/>
      <c r="H124" s="524"/>
      <c r="I124" s="524"/>
      <c r="J124" s="524"/>
      <c r="K124" s="524"/>
      <c r="L124" s="524"/>
      <c r="M124" s="524"/>
      <c r="N124" s="524"/>
      <c r="O124" s="524"/>
      <c r="P124" s="525"/>
      <c r="Q124" s="667" t="str">
        <f>IF(C12="English","All uses",IF(C12="中文","所有用途","全ての用途"))</f>
        <v>All uses</v>
      </c>
      <c r="R124" s="668"/>
      <c r="S124" s="668"/>
      <c r="T124" s="668"/>
      <c r="U124" s="668"/>
      <c r="V124" s="668"/>
      <c r="W124" s="669"/>
      <c r="X124" s="605" t="str">
        <f>IF(C12="English","Intentionally 
added",IF(C12="中文","禁止有意添加","意図的添加禁止"))</f>
        <v>Intentionally 
added</v>
      </c>
      <c r="Y124" s="606"/>
      <c r="Z124" s="606"/>
      <c r="AA124" s="606"/>
      <c r="AB124" s="607"/>
      <c r="AC124" s="506"/>
      <c r="AD124" s="507"/>
      <c r="AE124" s="508"/>
    </row>
    <row r="125" spans="3:31" ht="80.099999999999994" customHeight="1">
      <c r="C125" s="159">
        <v>25</v>
      </c>
      <c r="D125" s="679" t="str">
        <f>IF(C12="English","Perfluorooctane sulfonates (PFOS) and its salt",IF(C12="中文","全氟辛烷磺酸（PFOS）及其盐","パーフルオロオクタンスルホン酸(PFOS)およびその塩"))</f>
        <v>Perfluorooctane sulfonates (PFOS) and its salt</v>
      </c>
      <c r="E125" s="680"/>
      <c r="F125" s="680"/>
      <c r="G125" s="680"/>
      <c r="H125" s="680"/>
      <c r="I125" s="680"/>
      <c r="J125" s="680"/>
      <c r="K125" s="680"/>
      <c r="L125" s="680"/>
      <c r="M125" s="680"/>
      <c r="N125" s="680"/>
      <c r="O125" s="680"/>
      <c r="P125" s="681"/>
      <c r="Q125" s="679" t="str">
        <f>IF(C12="English","All uses",IF(C12="中文","所有用途","全ての用途"))</f>
        <v>All uses</v>
      </c>
      <c r="R125" s="680"/>
      <c r="S125" s="680"/>
      <c r="T125" s="680"/>
      <c r="U125" s="680"/>
      <c r="V125" s="680"/>
      <c r="W125" s="681"/>
      <c r="X125" s="605" t="str">
        <f>IF(C12="English","Intentionally added or Article: 1,000
substances,
Mixtures: 10",IF(C12="中文","禁止有意添加
且　成形品：1,000
物質,混合物：10","意図的添加禁止
且つ
成形品：1,000
物質、調剤：10"))</f>
        <v>Intentionally added or Article: 1,000
substances,
Mixtures: 10</v>
      </c>
      <c r="Y125" s="606"/>
      <c r="Z125" s="606"/>
      <c r="AA125" s="606"/>
      <c r="AB125" s="607"/>
      <c r="AC125" s="506"/>
      <c r="AD125" s="507"/>
      <c r="AE125" s="508"/>
    </row>
    <row r="126" spans="3:31" ht="135" customHeight="1">
      <c r="C126" s="158">
        <v>26</v>
      </c>
      <c r="D126" s="679" t="str">
        <f>IF(C12="English","Perfluorooctanic acids (PFOA) and its salts and PFOA-related substances(*2）",IF(C12="中文","全氟辛酸（PFOA）及其盐类和PFOA相关物质 ( *2)","パーフルオロオクタン酸（PFOA)とその塩および PFOA 関連物質（*2）"))</f>
        <v>Perfluorooctanic acids (PFOA) and its salts and PFOA-related substances(*2）</v>
      </c>
      <c r="E126" s="680"/>
      <c r="F126" s="680"/>
      <c r="G126" s="680"/>
      <c r="H126" s="680"/>
      <c r="I126" s="680"/>
      <c r="J126" s="680"/>
      <c r="K126" s="680"/>
      <c r="L126" s="680"/>
      <c r="M126" s="680"/>
      <c r="N126" s="680"/>
      <c r="O126" s="680"/>
      <c r="P126" s="681"/>
      <c r="Q126" s="679" t="str">
        <f>IF(C12="English","All uses for not medical devices",IF(C12="中文","医疗器械用途之外的所有用途","医療機器用途を除く、全ての用途"))</f>
        <v>All uses for not medical devices</v>
      </c>
      <c r="R126" s="680"/>
      <c r="S126" s="680"/>
      <c r="T126" s="680"/>
      <c r="U126" s="680"/>
      <c r="V126" s="680"/>
      <c r="W126" s="681"/>
      <c r="X126" s="682" t="str">
        <f>IF(C12="English","Intentionally added or Perfluorooctanoic acid (PFOA) and
 its salts in total : 25ppb
PFOA-related substances : 
In total
 1000ppb (1ppm)",IF(C12="中文","禁止有意添加
且
PFOA及其盐类合计
：25ppb
PFOA相关物质合計：1000ppb
　　（1ppm）
","意図的添加禁止
且つ 
パーフルオロオクタン酸 (PFOA)と
その塩の合計：25ppb
PFOA関連物質
合計：1,000ppb
(1ppm)"))</f>
        <v>Intentionally added or Perfluorooctanoic acid (PFOA) and
 its salts in total : 25ppb
PFOA-related substances : 
In total
 1000ppb (1ppm)</v>
      </c>
      <c r="Y126" s="683"/>
      <c r="Z126" s="683"/>
      <c r="AA126" s="683"/>
      <c r="AB126" s="684"/>
      <c r="AC126" s="506"/>
      <c r="AD126" s="507"/>
      <c r="AE126" s="508"/>
    </row>
    <row r="127" spans="3:31" ht="45" customHeight="1">
      <c r="C127" s="159">
        <v>27</v>
      </c>
      <c r="D127" s="679" t="str">
        <f>IF(C12="English","Long-Chain Perfluoroalkyl Carboxylate (LCPFACs)",IF(C12="中文","长链全氟烷基羧酸盐(LCPFACs)","長鎖ペルフルオロアルキルカルボン酸化合物 (LCPFACs)"))</f>
        <v>Long-Chain Perfluoroalkyl Carboxylate (LCPFACs)</v>
      </c>
      <c r="E127" s="680"/>
      <c r="F127" s="680"/>
      <c r="G127" s="680"/>
      <c r="H127" s="680"/>
      <c r="I127" s="680"/>
      <c r="J127" s="680"/>
      <c r="K127" s="680"/>
      <c r="L127" s="680"/>
      <c r="M127" s="680"/>
      <c r="N127" s="680"/>
      <c r="O127" s="680"/>
      <c r="P127" s="681"/>
      <c r="Q127" s="679" t="str">
        <f>IF(C12="English","Parts with surface coating, and material used to coat articles",IF(C12="中文","有表面涂层的零件或用于成形品涂层的材料","表面コーティングを有する部品 又は成形品をコーティングする為の材料"))</f>
        <v>Parts with surface coating, and material used to coat articles</v>
      </c>
      <c r="R127" s="680"/>
      <c r="S127" s="680"/>
      <c r="T127" s="680"/>
      <c r="U127" s="680"/>
      <c r="V127" s="680"/>
      <c r="W127" s="681"/>
      <c r="X127" s="605" t="str">
        <f>IF(C12="English","Intentionally 
added",IF(C12="中文","禁止有意添加","意図的添加禁止"))</f>
        <v>Intentionally 
added</v>
      </c>
      <c r="Y127" s="606"/>
      <c r="Z127" s="606"/>
      <c r="AA127" s="606"/>
      <c r="AB127" s="607"/>
      <c r="AC127" s="506"/>
      <c r="AD127" s="507"/>
      <c r="AE127" s="508"/>
    </row>
    <row r="128" spans="3:31" ht="60" customHeight="1">
      <c r="C128" s="159">
        <v>28</v>
      </c>
      <c r="D128" s="679" t="str">
        <f>IF(C12="English","Specific benzotriazole
2-(2H-benzotriazol-2-yl)-4,6-di-tert-butylphenol
（CASRN3846-71-7）",IF(C12="中文","特定苯并三唑
2-(2H-1,2,3-苯并三唑-2-基)- 4,6-二叔丁基苯酚
（UV-320）(CAS RN 3846-71-7)","特定ベンゾトリアゾール
2-(2H-1,2,3-ベンゾトリアゾール-2-イル)-4,6-ジ-tert-ブチルフェノール（UV-320）
(CAS RN 3846-71-7)"))</f>
        <v>Specific benzotriazole
2-(2H-benzotriazol-2-yl)-4,6-di-tert-butylphenol
（CASRN3846-71-7）</v>
      </c>
      <c r="E128" s="680"/>
      <c r="F128" s="680"/>
      <c r="G128" s="680"/>
      <c r="H128" s="680"/>
      <c r="I128" s="680"/>
      <c r="J128" s="680"/>
      <c r="K128" s="680"/>
      <c r="L128" s="680"/>
      <c r="M128" s="680"/>
      <c r="N128" s="680"/>
      <c r="O128" s="680"/>
      <c r="P128" s="681"/>
      <c r="Q128" s="679" t="str">
        <f>IF(C12="English","All uses",IF(C12="中文","所有用途","全ての用途"))</f>
        <v>All uses</v>
      </c>
      <c r="R128" s="680"/>
      <c r="S128" s="680"/>
      <c r="T128" s="680"/>
      <c r="U128" s="680"/>
      <c r="V128" s="680"/>
      <c r="W128" s="681"/>
      <c r="X128" s="605" t="str">
        <f>IF(C12="English","Intentionally 
added",IF(C12="中文","禁止有意添加","意図的添加禁止"))</f>
        <v>Intentionally 
added</v>
      </c>
      <c r="Y128" s="606"/>
      <c r="Z128" s="606"/>
      <c r="AA128" s="606"/>
      <c r="AB128" s="607"/>
      <c r="AC128" s="506"/>
      <c r="AD128" s="507"/>
      <c r="AE128" s="508"/>
    </row>
    <row r="129" spans="3:31" ht="40.049999999999997" customHeight="1">
      <c r="C129" s="159">
        <v>29</v>
      </c>
      <c r="D129" s="638" t="str">
        <f>IF(C12="English","Cobalt chloride
(CASRN7646-79-9)",IF(C12="中文","氯化钴
(CAS RN 7646-79-9)","塩化コバルト
(CAS RN 7646-79-9)"))</f>
        <v>Cobalt chloride
(CASRN7646-79-9)</v>
      </c>
      <c r="E129" s="644"/>
      <c r="F129" s="644"/>
      <c r="G129" s="644"/>
      <c r="H129" s="644"/>
      <c r="I129" s="644"/>
      <c r="J129" s="644"/>
      <c r="K129" s="644"/>
      <c r="L129" s="644"/>
      <c r="M129" s="644"/>
      <c r="N129" s="644"/>
      <c r="O129" s="644"/>
      <c r="P129" s="645"/>
      <c r="Q129" s="667" t="str">
        <f>IF(C12="English","All uses",IF(C12="中文","所有用途","全ての用途"))</f>
        <v>All uses</v>
      </c>
      <c r="R129" s="668"/>
      <c r="S129" s="668"/>
      <c r="T129" s="668"/>
      <c r="U129" s="668"/>
      <c r="V129" s="668"/>
      <c r="W129" s="669"/>
      <c r="X129" s="605" t="str">
        <f>IF(C12="English","Intentionally added or 1,000",IF(C12="中文","禁止有意添加
且　1,000","意図的添加禁止
且つ 1,000"))</f>
        <v>Intentionally added or 1,000</v>
      </c>
      <c r="Y129" s="606"/>
      <c r="Z129" s="606"/>
      <c r="AA129" s="606"/>
      <c r="AB129" s="607"/>
      <c r="AC129" s="506"/>
      <c r="AD129" s="507"/>
      <c r="AE129" s="508"/>
    </row>
    <row r="130" spans="3:31" ht="40.049999999999997" customHeight="1">
      <c r="C130" s="159">
        <v>30</v>
      </c>
      <c r="D130" s="638" t="str">
        <f>IF(C12="English","Beryllium oxide 
(CASRN1304-56-9)",IF(C12="中文","氧化铍
(CAS RN 1304-56-9)","酸化ベリリウム
(CAS RN 1304-56-9)"))</f>
        <v>Beryllium oxide 
(CASRN1304-56-9)</v>
      </c>
      <c r="E130" s="644"/>
      <c r="F130" s="644"/>
      <c r="G130" s="644"/>
      <c r="H130" s="644"/>
      <c r="I130" s="644"/>
      <c r="J130" s="644"/>
      <c r="K130" s="644"/>
      <c r="L130" s="644"/>
      <c r="M130" s="644"/>
      <c r="N130" s="644"/>
      <c r="O130" s="644"/>
      <c r="P130" s="645"/>
      <c r="Q130" s="667" t="str">
        <f>IF(C12="English","All uses",IF(C12="中文","所有用途","全ての用途"))</f>
        <v>All uses</v>
      </c>
      <c r="R130" s="668"/>
      <c r="S130" s="668"/>
      <c r="T130" s="668"/>
      <c r="U130" s="668"/>
      <c r="V130" s="668"/>
      <c r="W130" s="669"/>
      <c r="X130" s="605" t="str">
        <f>IF(C12="English","Intentionally added or 1,000",IF(C12="中文","禁止有意添加
且　1,000","意図的添加禁止
且つ 1,000"))</f>
        <v>Intentionally added or 1,000</v>
      </c>
      <c r="Y130" s="606"/>
      <c r="Z130" s="606"/>
      <c r="AA130" s="606"/>
      <c r="AB130" s="607"/>
      <c r="AC130" s="506"/>
      <c r="AD130" s="507"/>
      <c r="AE130" s="508"/>
    </row>
    <row r="131" spans="3:31" ht="30" customHeight="1">
      <c r="C131" s="159">
        <v>31</v>
      </c>
      <c r="D131" s="679" t="str">
        <f>IF(C12="English","Dimetylfumarate (DMF)
(CASRN624-49-7)",IF(C12="中文","富马酸二甲酯(DMF)
(CAS RN 624-49-7)","フマル酸ジメチル(DMF)
(CAS RN 624-49-7)"))</f>
        <v>Dimetylfumarate (DMF)
(CASRN624-49-7)</v>
      </c>
      <c r="E131" s="680"/>
      <c r="F131" s="680"/>
      <c r="G131" s="680"/>
      <c r="H131" s="680"/>
      <c r="I131" s="680"/>
      <c r="J131" s="680"/>
      <c r="K131" s="680"/>
      <c r="L131" s="680"/>
      <c r="M131" s="680"/>
      <c r="N131" s="680"/>
      <c r="O131" s="680"/>
      <c r="P131" s="681"/>
      <c r="Q131" s="679" t="str">
        <f>IF(C12="English","All uses",IF(C12="中文","所有用途","全ての用途"))</f>
        <v>All uses</v>
      </c>
      <c r="R131" s="680"/>
      <c r="S131" s="680"/>
      <c r="T131" s="680"/>
      <c r="U131" s="680"/>
      <c r="V131" s="680"/>
      <c r="W131" s="681"/>
      <c r="X131" s="605">
        <v>0.1</v>
      </c>
      <c r="Y131" s="606"/>
      <c r="Z131" s="606"/>
      <c r="AA131" s="606"/>
      <c r="AB131" s="607"/>
      <c r="AC131" s="506"/>
      <c r="AD131" s="507"/>
      <c r="AE131" s="508"/>
    </row>
    <row r="132" spans="3:31" ht="30" customHeight="1">
      <c r="C132" s="159">
        <v>32</v>
      </c>
      <c r="D132" s="679" t="str">
        <f>IF(C12="English","Tris(2-chloroethyl) phosphate（TCEP）(CAS RN 115-96-8)",IF(C12="中文","磷酸三（2-氯乙基）酯（TCEP）(CAS RN 115-96-8)","リン酸トリス（2-クロロエチル）（TCEP）(CAS RN 115-96-8)"))</f>
        <v>Tris(2-chloroethyl) phosphate（TCEP）(CAS RN 115-96-8)</v>
      </c>
      <c r="E132" s="680"/>
      <c r="F132" s="680"/>
      <c r="G132" s="680"/>
      <c r="H132" s="680"/>
      <c r="I132" s="680"/>
      <c r="J132" s="680"/>
      <c r="K132" s="680"/>
      <c r="L132" s="680"/>
      <c r="M132" s="680"/>
      <c r="N132" s="680"/>
      <c r="O132" s="680"/>
      <c r="P132" s="681"/>
      <c r="Q132" s="679" t="str">
        <f>IF(C12="English","All uses",IF(C12="中文","所有用途","全ての用途"))</f>
        <v>All uses</v>
      </c>
      <c r="R132" s="680"/>
      <c r="S132" s="680"/>
      <c r="T132" s="680"/>
      <c r="U132" s="680"/>
      <c r="V132" s="680"/>
      <c r="W132" s="681"/>
      <c r="X132" s="630">
        <v>1000</v>
      </c>
      <c r="Y132" s="631"/>
      <c r="Z132" s="631"/>
      <c r="AA132" s="631"/>
      <c r="AB132" s="632"/>
      <c r="AC132" s="506"/>
      <c r="AD132" s="507"/>
      <c r="AE132" s="508"/>
    </row>
    <row r="133" spans="3:31" ht="30" customHeight="1">
      <c r="C133" s="159">
        <v>33</v>
      </c>
      <c r="D133" s="679" t="str">
        <f>IF(C12="English","Tris(1-chloro-2- propyl) phosphate（TCPP）(CAS RN 13674-84-5)",IF(C12="中文","磷酸三（1-氯-2-丙基）酯（TCPP）(CAS RN 13674-84-5)","リン酸トリス（1-クロロ-2-プロピル）（TCPP）(CAS RN 13674-84-5)"))</f>
        <v>Tris(1-chloro-2- propyl) phosphate（TCPP）(CAS RN 13674-84-5)</v>
      </c>
      <c r="E133" s="680"/>
      <c r="F133" s="680"/>
      <c r="G133" s="680"/>
      <c r="H133" s="680"/>
      <c r="I133" s="680"/>
      <c r="J133" s="680"/>
      <c r="K133" s="680"/>
      <c r="L133" s="680"/>
      <c r="M133" s="680"/>
      <c r="N133" s="680"/>
      <c r="O133" s="680"/>
      <c r="P133" s="681"/>
      <c r="Q133" s="679" t="str">
        <f>IF(C12="English","Use of flame retardants for resin or textile",IF(C12="中文","用于树脂、纤维的阻燃剂用途","樹脂、繊維への難燃剤用途"))</f>
        <v>Use of flame retardants for resin or textile</v>
      </c>
      <c r="R133" s="680"/>
      <c r="S133" s="680"/>
      <c r="T133" s="680"/>
      <c r="U133" s="680"/>
      <c r="V133" s="680"/>
      <c r="W133" s="681"/>
      <c r="X133" s="630">
        <v>1000</v>
      </c>
      <c r="Y133" s="631"/>
      <c r="Z133" s="631"/>
      <c r="AA133" s="631"/>
      <c r="AB133" s="632"/>
      <c r="AC133" s="506"/>
      <c r="AD133" s="507"/>
      <c r="AE133" s="508"/>
    </row>
    <row r="134" spans="3:31" ht="30" customHeight="1">
      <c r="C134" s="159">
        <v>34</v>
      </c>
      <c r="D134" s="638" t="str">
        <f>IF(C12="English","Tris(1,3-dichloro-2-propyl) phosphate（TDCPP）(CAS RN 13674-87-8)",IF(C12="中文","磷酸三（1,3-二氯-2-丙基）酯（TDCPP）(CAS RN 13674-87-8)","リン酸トリス（1,3-ジクロロ-2-プロピル）（TDCPP）(CAS RN 13674-87-8)"))</f>
        <v>Tris(1,3-dichloro-2-propyl) phosphate（TDCPP）(CAS RN 13674-87-8)</v>
      </c>
      <c r="E134" s="644"/>
      <c r="F134" s="644"/>
      <c r="G134" s="644"/>
      <c r="H134" s="644"/>
      <c r="I134" s="644"/>
      <c r="J134" s="644"/>
      <c r="K134" s="644"/>
      <c r="L134" s="644"/>
      <c r="M134" s="644"/>
      <c r="N134" s="644"/>
      <c r="O134" s="644"/>
      <c r="P134" s="645"/>
      <c r="Q134" s="679" t="str">
        <f>IF(C12="English","Use of flame retardants for resin or textile",IF(C12="中文","用于树脂、纤维的阻燃剂用途","樹脂、繊維への難燃剤用途"))</f>
        <v>Use of flame retardants for resin or textile</v>
      </c>
      <c r="R134" s="680"/>
      <c r="S134" s="680"/>
      <c r="T134" s="680"/>
      <c r="U134" s="680"/>
      <c r="V134" s="680"/>
      <c r="W134" s="681"/>
      <c r="X134" s="630">
        <v>1000</v>
      </c>
      <c r="Y134" s="631"/>
      <c r="Z134" s="631"/>
      <c r="AA134" s="631"/>
      <c r="AB134" s="632"/>
      <c r="AC134" s="506"/>
      <c r="AD134" s="507"/>
      <c r="AE134" s="508"/>
    </row>
    <row r="135" spans="3:31" ht="40.049999999999997" customHeight="1">
      <c r="C135" s="158">
        <v>35</v>
      </c>
      <c r="D135" s="679" t="str">
        <f>IF(C12="English","Hexabromocyclododecane (HBCDD) and all major diastereoisomers identified",IF(C12="中文","六溴环十二烷（HBCDD）以及所有主要非对映体","ヘキサブロモシクロドデカン（HBCDD）および全主要ジアステレオマー"))</f>
        <v>Hexabromocyclododecane (HBCDD) and all major diastereoisomers identified</v>
      </c>
      <c r="E135" s="680"/>
      <c r="F135" s="680"/>
      <c r="G135" s="680"/>
      <c r="H135" s="680"/>
      <c r="I135" s="680"/>
      <c r="J135" s="680"/>
      <c r="K135" s="680"/>
      <c r="L135" s="680"/>
      <c r="M135" s="680"/>
      <c r="N135" s="680"/>
      <c r="O135" s="680"/>
      <c r="P135" s="681"/>
      <c r="Q135" s="679" t="str">
        <f>IF(C12="English","All uses",IF(C12="中文","所有用途","全ての用途"))</f>
        <v>All uses</v>
      </c>
      <c r="R135" s="680"/>
      <c r="S135" s="680"/>
      <c r="T135" s="680"/>
      <c r="U135" s="680"/>
      <c r="V135" s="680"/>
      <c r="W135" s="681"/>
      <c r="X135" s="605" t="str">
        <f>IF(C12="English","Intentionally added or 100",IF(C12="中文","禁止有意添加
且　100","意図的添加禁止
且つ 100"))</f>
        <v>Intentionally added or 100</v>
      </c>
      <c r="Y135" s="606"/>
      <c r="Z135" s="606"/>
      <c r="AA135" s="606"/>
      <c r="AB135" s="607"/>
      <c r="AC135" s="506"/>
      <c r="AD135" s="507"/>
      <c r="AE135" s="508"/>
    </row>
    <row r="136" spans="3:31" ht="15" customHeight="1">
      <c r="C136" s="152"/>
      <c r="D136" s="165"/>
      <c r="E136" s="165"/>
      <c r="F136" s="165"/>
      <c r="G136" s="165"/>
      <c r="H136" s="165"/>
      <c r="I136" s="165"/>
      <c r="J136" s="165"/>
      <c r="K136" s="165"/>
      <c r="L136" s="165"/>
      <c r="M136" s="165"/>
      <c r="N136" s="165"/>
      <c r="O136" s="165"/>
      <c r="P136" s="165"/>
      <c r="Q136" s="163"/>
      <c r="R136" s="163"/>
      <c r="S136" s="163"/>
      <c r="T136" s="163"/>
      <c r="U136" s="163"/>
      <c r="V136" s="163"/>
      <c r="W136" s="163"/>
      <c r="X136" s="162"/>
      <c r="Y136" s="162"/>
      <c r="Z136" s="162"/>
      <c r="AA136" s="162"/>
      <c r="AB136" s="162"/>
      <c r="AC136" s="164"/>
      <c r="AD136" s="164"/>
      <c r="AE136" s="164"/>
    </row>
    <row r="137" spans="3:31" ht="15" customHeight="1">
      <c r="C137" s="152"/>
      <c r="D137" s="165"/>
      <c r="E137" s="165"/>
      <c r="F137" s="165"/>
      <c r="G137" s="165"/>
      <c r="H137" s="165"/>
      <c r="I137" s="165"/>
      <c r="J137" s="165"/>
      <c r="K137" s="165"/>
      <c r="L137" s="165"/>
      <c r="M137" s="165"/>
      <c r="N137" s="165"/>
      <c r="O137" s="165"/>
      <c r="P137" s="165"/>
      <c r="Q137" s="163"/>
      <c r="R137" s="163"/>
      <c r="S137" s="163"/>
      <c r="T137" s="163"/>
      <c r="U137" s="163"/>
      <c r="V137" s="163"/>
      <c r="W137" s="163"/>
      <c r="X137" s="162"/>
      <c r="Y137" s="162"/>
      <c r="Z137" s="162"/>
      <c r="AA137" s="162"/>
      <c r="AB137" s="162"/>
      <c r="AC137" s="164"/>
      <c r="AD137" s="164"/>
      <c r="AE137" s="164"/>
    </row>
    <row r="138" spans="3:31" ht="15" customHeight="1">
      <c r="C138" s="152"/>
      <c r="D138" s="165"/>
      <c r="E138" s="165"/>
      <c r="F138" s="165"/>
      <c r="G138" s="165"/>
      <c r="H138" s="165"/>
      <c r="I138" s="165"/>
      <c r="J138" s="165"/>
      <c r="K138" s="165"/>
      <c r="L138" s="165"/>
      <c r="M138" s="165"/>
      <c r="N138" s="165"/>
      <c r="O138" s="165"/>
      <c r="P138" s="165"/>
      <c r="Q138" s="163"/>
      <c r="R138" s="163"/>
      <c r="S138" s="163"/>
      <c r="T138" s="163"/>
      <c r="U138" s="163"/>
      <c r="V138" s="163"/>
      <c r="W138" s="163"/>
      <c r="X138" s="162"/>
      <c r="Y138" s="162"/>
      <c r="Z138" s="162"/>
      <c r="AA138" s="162"/>
      <c r="AB138" s="162"/>
      <c r="AC138" s="164"/>
      <c r="AD138" s="164"/>
      <c r="AE138" s="164"/>
    </row>
    <row r="139" spans="3:31" ht="15" customHeight="1">
      <c r="C139" s="152"/>
      <c r="D139" s="165"/>
      <c r="E139" s="165"/>
      <c r="F139" s="165"/>
      <c r="G139" s="165"/>
      <c r="H139" s="165"/>
      <c r="I139" s="165"/>
      <c r="J139" s="165"/>
      <c r="K139" s="165"/>
      <c r="L139" s="165"/>
      <c r="M139" s="165"/>
      <c r="N139" s="165"/>
      <c r="O139" s="165"/>
      <c r="P139" s="165"/>
      <c r="Q139" s="163"/>
      <c r="R139" s="163"/>
      <c r="S139" s="163"/>
      <c r="T139" s="163"/>
      <c r="U139" s="163"/>
      <c r="V139" s="163"/>
      <c r="W139" s="163"/>
      <c r="X139" s="162"/>
      <c r="Y139" s="162"/>
      <c r="Z139" s="162"/>
      <c r="AA139" s="162"/>
      <c r="AB139" s="162"/>
      <c r="AC139" s="164"/>
      <c r="AD139" s="164"/>
      <c r="AE139" s="164"/>
    </row>
    <row r="140" spans="3:31" ht="15" customHeight="1">
      <c r="C140" s="152"/>
      <c r="D140" s="165"/>
      <c r="E140" s="165"/>
      <c r="F140" s="165"/>
      <c r="G140" s="165"/>
      <c r="H140" s="165"/>
      <c r="I140" s="165"/>
      <c r="J140" s="165"/>
      <c r="K140" s="165"/>
      <c r="L140" s="165"/>
      <c r="M140" s="165"/>
      <c r="N140" s="165"/>
      <c r="O140" s="165"/>
      <c r="P140" s="165"/>
      <c r="Q140" s="163"/>
      <c r="R140" s="163"/>
      <c r="S140" s="163"/>
      <c r="T140" s="163"/>
      <c r="U140" s="163"/>
      <c r="V140" s="163"/>
      <c r="W140" s="163"/>
      <c r="X140" s="162"/>
      <c r="Y140" s="162"/>
      <c r="Z140" s="162"/>
      <c r="AA140" s="162"/>
      <c r="AB140" s="162"/>
      <c r="AC140" s="164"/>
      <c r="AD140" s="164"/>
      <c r="AE140" s="164"/>
    </row>
    <row r="141" spans="3:31" ht="15" customHeight="1">
      <c r="C141" s="152"/>
      <c r="D141" s="165"/>
      <c r="E141" s="165"/>
      <c r="F141" s="165"/>
      <c r="G141" s="165"/>
      <c r="H141" s="165"/>
      <c r="I141" s="165"/>
      <c r="J141" s="165"/>
      <c r="K141" s="165"/>
      <c r="L141" s="165"/>
      <c r="M141" s="165"/>
      <c r="N141" s="165"/>
      <c r="O141" s="165"/>
      <c r="P141" s="165"/>
      <c r="Q141" s="163"/>
      <c r="R141" s="163"/>
      <c r="S141" s="163"/>
      <c r="T141" s="163"/>
      <c r="U141" s="163"/>
      <c r="V141" s="163"/>
      <c r="W141" s="163"/>
      <c r="X141" s="162"/>
      <c r="Y141" s="162"/>
      <c r="Z141" s="162"/>
      <c r="AA141" s="162"/>
      <c r="AB141" s="162"/>
      <c r="AC141" s="164"/>
      <c r="AD141" s="164"/>
      <c r="AE141" s="164"/>
    </row>
    <row r="142" spans="3:31" ht="15" customHeight="1">
      <c r="C142" s="152"/>
      <c r="D142" s="165"/>
      <c r="E142" s="165"/>
      <c r="F142" s="165"/>
      <c r="G142" s="165"/>
      <c r="H142" s="165"/>
      <c r="I142" s="165"/>
      <c r="J142" s="165"/>
      <c r="K142" s="165"/>
      <c r="L142" s="165"/>
      <c r="M142" s="165"/>
      <c r="N142" s="165"/>
      <c r="O142" s="165"/>
      <c r="P142" s="165"/>
      <c r="Q142" s="163"/>
      <c r="R142" s="163"/>
      <c r="S142" s="163"/>
      <c r="T142" s="163"/>
      <c r="U142" s="163"/>
      <c r="V142" s="163"/>
      <c r="W142" s="163"/>
      <c r="X142" s="162"/>
      <c r="Y142" s="162"/>
      <c r="Z142" s="162"/>
      <c r="AA142" s="162"/>
      <c r="AB142" s="162"/>
      <c r="AC142" s="164"/>
      <c r="AD142" s="164"/>
      <c r="AE142" s="164"/>
    </row>
    <row r="143" spans="3:31" ht="15" customHeight="1">
      <c r="C143" s="152"/>
      <c r="D143" s="165"/>
      <c r="E143" s="165"/>
      <c r="F143" s="165"/>
      <c r="G143" s="165"/>
      <c r="H143" s="165"/>
      <c r="I143" s="165"/>
      <c r="J143" s="165"/>
      <c r="K143" s="165"/>
      <c r="L143" s="165"/>
      <c r="M143" s="165"/>
      <c r="N143" s="165"/>
      <c r="O143" s="165"/>
      <c r="P143" s="165"/>
      <c r="Q143" s="163"/>
      <c r="R143" s="163"/>
      <c r="S143" s="163"/>
      <c r="T143" s="163"/>
      <c r="U143" s="163"/>
      <c r="V143" s="163"/>
      <c r="W143" s="163"/>
      <c r="X143" s="162"/>
      <c r="Y143" s="162"/>
      <c r="Z143" s="162"/>
      <c r="AA143" s="162"/>
      <c r="AB143" s="162"/>
      <c r="AC143" s="164"/>
      <c r="AD143" s="164"/>
      <c r="AE143" s="164"/>
    </row>
    <row r="144" spans="3:31" ht="20.100000000000001" customHeight="1">
      <c r="C144" s="520">
        <v>36</v>
      </c>
      <c r="D144" s="523" t="str">
        <f>IF(C12="English","PAHs(8 substances below)",IF(C12="中文","PAHs （下述8种物质）","PAHs （下記8物質）"))</f>
        <v>PAHs(8 substances below)</v>
      </c>
      <c r="E144" s="524"/>
      <c r="F144" s="524"/>
      <c r="G144" s="524"/>
      <c r="H144" s="524"/>
      <c r="I144" s="524"/>
      <c r="J144" s="524"/>
      <c r="K144" s="524"/>
      <c r="L144" s="524"/>
      <c r="M144" s="524"/>
      <c r="N144" s="524"/>
      <c r="O144" s="524"/>
      <c r="P144" s="525"/>
      <c r="Q144" s="526" t="str">
        <f>IF(C12="English","Rubber and plastic parts that come into direct as well as prolonged or short-term repetitive contact with the human skin or the oral cavity: Articles other than toys",IF(C12="中文","长期或反复直接接触皮肤或口腔的橡胶或塑料部件: 玩具以外的成形品","直接皮膚や口腔に長期、繰り返し接触するゴムやプラスチック部品: 玩具以外の成形品"))</f>
        <v>Rubber and plastic parts that come into direct as well as prolonged or short-term repetitive contact with the human skin or the oral cavity: Articles other than toys</v>
      </c>
      <c r="R144" s="635"/>
      <c r="S144" s="635"/>
      <c r="T144" s="635"/>
      <c r="U144" s="635"/>
      <c r="V144" s="635"/>
      <c r="W144" s="636"/>
      <c r="X144" s="541" t="str">
        <f>IF(C12="English","Each substance:
1.0",IF(C12="中文","各成分: 1.0","各成分: 1.0"))</f>
        <v>Each substance:
1.0</v>
      </c>
      <c r="Y144" s="542"/>
      <c r="Z144" s="542"/>
      <c r="AA144" s="542"/>
      <c r="AB144" s="543"/>
      <c r="AC144" s="547"/>
      <c r="AD144" s="548"/>
      <c r="AE144" s="549"/>
    </row>
    <row r="145" spans="3:31" ht="25.05" customHeight="1">
      <c r="C145" s="521"/>
      <c r="D145" s="550" t="str">
        <f>IF(C12="English","Benzo[a]pyrene (CAS RN 50-32-8)",IF(C12="中文","苯并[a]芘  (CAS RN 50-32-8)","ベンゾ[a]ピレン  (CAS RN 50-32-8)"))</f>
        <v>Benzo[a]pyrene (CAS RN 50-32-8)</v>
      </c>
      <c r="E145" s="551"/>
      <c r="F145" s="551"/>
      <c r="G145" s="551"/>
      <c r="H145" s="551"/>
      <c r="I145" s="551"/>
      <c r="J145" s="551"/>
      <c r="K145" s="551"/>
      <c r="L145" s="551"/>
      <c r="M145" s="551"/>
      <c r="N145" s="551"/>
      <c r="O145" s="551"/>
      <c r="P145" s="552"/>
      <c r="Q145" s="685"/>
      <c r="R145" s="686"/>
      <c r="S145" s="686"/>
      <c r="T145" s="686"/>
      <c r="U145" s="686"/>
      <c r="V145" s="686"/>
      <c r="W145" s="687"/>
      <c r="X145" s="544"/>
      <c r="Y145" s="545"/>
      <c r="Z145" s="545"/>
      <c r="AA145" s="545"/>
      <c r="AB145" s="546"/>
      <c r="AC145" s="506"/>
      <c r="AD145" s="507"/>
      <c r="AE145" s="508"/>
    </row>
    <row r="146" spans="3:31" ht="25.05" customHeight="1">
      <c r="C146" s="521"/>
      <c r="D146" s="503" t="str">
        <f>IF(C12="English","Benzo[e]pyrene (CAS RN 192-97-2)",IF(C12="中文","苯并[e]芘  (CAS RN 192-97-2)","ベンゾ[e]ピレン  (CAS RN 192-97-2)"))</f>
        <v>Benzo[e]pyrene (CAS RN 192-97-2)</v>
      </c>
      <c r="E146" s="504"/>
      <c r="F146" s="504"/>
      <c r="G146" s="504"/>
      <c r="H146" s="504"/>
      <c r="I146" s="504"/>
      <c r="J146" s="504"/>
      <c r="K146" s="504"/>
      <c r="L146" s="504"/>
      <c r="M146" s="504"/>
      <c r="N146" s="504"/>
      <c r="O146" s="504"/>
      <c r="P146" s="505"/>
      <c r="Q146" s="685"/>
      <c r="R146" s="686"/>
      <c r="S146" s="686"/>
      <c r="T146" s="686"/>
      <c r="U146" s="686"/>
      <c r="V146" s="686"/>
      <c r="W146" s="687"/>
      <c r="X146" s="544"/>
      <c r="Y146" s="545"/>
      <c r="Z146" s="545"/>
      <c r="AA146" s="545"/>
      <c r="AB146" s="546"/>
      <c r="AC146" s="506"/>
      <c r="AD146" s="507"/>
      <c r="AE146" s="508"/>
    </row>
    <row r="147" spans="3:31" ht="25.05" customHeight="1">
      <c r="C147" s="521"/>
      <c r="D147" s="503" t="str">
        <f>IF(C12="English","Benz[a]anthracene (CAS RN 56-55-3)",IF(C12="中文","苯并[a]蒽  (CAS RN 56-55-3)","ベンゾ[a]アントラセン  (CAS RN 56-55-3)"))</f>
        <v>Benz[a]anthracene (CAS RN 56-55-3)</v>
      </c>
      <c r="E147" s="504"/>
      <c r="F147" s="504"/>
      <c r="G147" s="504"/>
      <c r="H147" s="504"/>
      <c r="I147" s="504"/>
      <c r="J147" s="504"/>
      <c r="K147" s="504"/>
      <c r="L147" s="504"/>
      <c r="M147" s="504"/>
      <c r="N147" s="504"/>
      <c r="O147" s="504"/>
      <c r="P147" s="505"/>
      <c r="Q147" s="685"/>
      <c r="R147" s="686"/>
      <c r="S147" s="686"/>
      <c r="T147" s="686"/>
      <c r="U147" s="686"/>
      <c r="V147" s="686"/>
      <c r="W147" s="687"/>
      <c r="X147" s="544"/>
      <c r="Y147" s="545"/>
      <c r="Z147" s="545"/>
      <c r="AA147" s="545"/>
      <c r="AB147" s="546"/>
      <c r="AC147" s="506"/>
      <c r="AD147" s="507"/>
      <c r="AE147" s="508"/>
    </row>
    <row r="148" spans="3:31" ht="25.05" customHeight="1">
      <c r="C148" s="521"/>
      <c r="D148" s="503" t="str">
        <f>IF(C12="English","Chrysene (CAS RN 218-01-9)",IF(C12="中文","屈  (CAS RN 218-01-9)","クリセン  (CAS RN 218-01-9)"))</f>
        <v>Chrysene (CAS RN 218-01-9)</v>
      </c>
      <c r="E148" s="504"/>
      <c r="F148" s="504"/>
      <c r="G148" s="504"/>
      <c r="H148" s="504"/>
      <c r="I148" s="504"/>
      <c r="J148" s="504"/>
      <c r="K148" s="504"/>
      <c r="L148" s="504"/>
      <c r="M148" s="504"/>
      <c r="N148" s="504"/>
      <c r="O148" s="504"/>
      <c r="P148" s="505"/>
      <c r="Q148" s="688"/>
      <c r="R148" s="689"/>
      <c r="S148" s="689"/>
      <c r="T148" s="689"/>
      <c r="U148" s="689"/>
      <c r="V148" s="689"/>
      <c r="W148" s="690"/>
      <c r="X148" s="544"/>
      <c r="Y148" s="545"/>
      <c r="Z148" s="545"/>
      <c r="AA148" s="545"/>
      <c r="AB148" s="546"/>
      <c r="AC148" s="506"/>
      <c r="AD148" s="507"/>
      <c r="AE148" s="508"/>
    </row>
    <row r="149" spans="3:31" ht="25.05" customHeight="1">
      <c r="C149" s="521"/>
      <c r="D149" s="503" t="str">
        <f>IF(C12="English","Benzo[b]fluoranthene (CAS RN 205-99-2)",IF(C12="中文","苯并[b]荧蒽  (CAS RN 205-99-2)","ベンゾ[b]フルオランテン  (CAS RN 205-99-2)"))</f>
        <v>Benzo[b]fluoranthene (CAS RN 205-99-2)</v>
      </c>
      <c r="E149" s="504"/>
      <c r="F149" s="504"/>
      <c r="G149" s="504"/>
      <c r="H149" s="504"/>
      <c r="I149" s="504"/>
      <c r="J149" s="504"/>
      <c r="K149" s="504"/>
      <c r="L149" s="504"/>
      <c r="M149" s="504"/>
      <c r="N149" s="504"/>
      <c r="O149" s="504"/>
      <c r="P149" s="505"/>
      <c r="Q149" s="691" t="str">
        <f>IF(C12="English","Rubber and plastic parts that come into direct as well as prolonged or short-term repetitive contact with the human skin or the oral cavity: Toys",IF(C12="中文","长期或反复直接接触皮肤或口腔的橡胶或塑料部件: 玩具","直接皮膚や口腔に長期、繰り返し接触するゴムやプラスチック部品: 玩具"))</f>
        <v>Rubber and plastic parts that come into direct as well as prolonged or short-term repetitive contact with the human skin or the oral cavity: Toys</v>
      </c>
      <c r="R149" s="692"/>
      <c r="S149" s="692"/>
      <c r="T149" s="692"/>
      <c r="U149" s="692"/>
      <c r="V149" s="692"/>
      <c r="W149" s="693"/>
      <c r="X149" s="544"/>
      <c r="Y149" s="697"/>
      <c r="Z149" s="699" t="str">
        <f>IF(C12="English","Each substance:
0.5",IF(C12="中文","各成分: 0.5","各成分0.5"))</f>
        <v>Each substance:
0.5</v>
      </c>
      <c r="AA149" s="700"/>
      <c r="AB149" s="701"/>
      <c r="AC149" s="506"/>
      <c r="AD149" s="507"/>
      <c r="AE149" s="508"/>
    </row>
    <row r="150" spans="3:31" ht="35.1" customHeight="1">
      <c r="C150" s="521"/>
      <c r="D150" s="503" t="str">
        <f>IF(C12="English","Benzo[j]fluoranthene solution  (CAS RN205-82-3)",IF(C12="中文","苯并[j]荧蒽  (CAS RN 205-82-3)","ベンゾ[j]フルオランテン  (CAS RN 205-82-3)"))</f>
        <v>Benzo[j]fluoranthene solution  (CAS RN205-82-3)</v>
      </c>
      <c r="E150" s="504"/>
      <c r="F150" s="504"/>
      <c r="G150" s="504"/>
      <c r="H150" s="504"/>
      <c r="I150" s="504"/>
      <c r="J150" s="504"/>
      <c r="K150" s="504"/>
      <c r="L150" s="504"/>
      <c r="M150" s="504"/>
      <c r="N150" s="504"/>
      <c r="O150" s="504"/>
      <c r="P150" s="505"/>
      <c r="Q150" s="685"/>
      <c r="R150" s="686"/>
      <c r="S150" s="686"/>
      <c r="T150" s="686"/>
      <c r="U150" s="686"/>
      <c r="V150" s="686"/>
      <c r="W150" s="687"/>
      <c r="X150" s="544"/>
      <c r="Y150" s="697"/>
      <c r="Z150" s="702"/>
      <c r="AA150" s="703"/>
      <c r="AB150" s="704"/>
      <c r="AC150" s="506"/>
      <c r="AD150" s="507"/>
      <c r="AE150" s="508"/>
    </row>
    <row r="151" spans="3:31" ht="25.05" customHeight="1">
      <c r="C151" s="521"/>
      <c r="D151" s="503" t="str">
        <f>IF(C12="English","Benzo[k]fluoranthene  (CAS RN 207-08-9)",IF(C12="中文","苯并[k]荧蒽  (CAS RN 207-08-9)","ベンゾ[k]フルオランテン  (CAS RN 207-08-9)"))</f>
        <v>Benzo[k]fluoranthene  (CAS RN 207-08-9)</v>
      </c>
      <c r="E151" s="504"/>
      <c r="F151" s="504"/>
      <c r="G151" s="504"/>
      <c r="H151" s="504"/>
      <c r="I151" s="504"/>
      <c r="J151" s="504"/>
      <c r="K151" s="504"/>
      <c r="L151" s="504"/>
      <c r="M151" s="504"/>
      <c r="N151" s="504"/>
      <c r="O151" s="504"/>
      <c r="P151" s="505"/>
      <c r="Q151" s="685"/>
      <c r="R151" s="686"/>
      <c r="S151" s="686"/>
      <c r="T151" s="686"/>
      <c r="U151" s="686"/>
      <c r="V151" s="686"/>
      <c r="W151" s="687"/>
      <c r="X151" s="544"/>
      <c r="Y151" s="697"/>
      <c r="Z151" s="702"/>
      <c r="AA151" s="703"/>
      <c r="AB151" s="704"/>
      <c r="AC151" s="506"/>
      <c r="AD151" s="507"/>
      <c r="AE151" s="508"/>
    </row>
    <row r="152" spans="3:31" ht="25.05" customHeight="1">
      <c r="C152" s="522"/>
      <c r="D152" s="509" t="str">
        <f>IF(C12="English","Dibenz[a,h]anthracen  (CAS RN 53-70-3)",IF(C12="中文","二苯并[a，h]蒽  (CAS RN 53-70-3)","ジベンゾ[a,h]アントラセン  (CAS RN 53-70-3)"))</f>
        <v>Dibenz[a,h]anthracen  (CAS RN 53-70-3)</v>
      </c>
      <c r="E152" s="510"/>
      <c r="F152" s="510"/>
      <c r="G152" s="510"/>
      <c r="H152" s="510"/>
      <c r="I152" s="510"/>
      <c r="J152" s="510"/>
      <c r="K152" s="510"/>
      <c r="L152" s="510"/>
      <c r="M152" s="510"/>
      <c r="N152" s="510"/>
      <c r="O152" s="510"/>
      <c r="P152" s="511"/>
      <c r="Q152" s="694"/>
      <c r="R152" s="695"/>
      <c r="S152" s="695"/>
      <c r="T152" s="695"/>
      <c r="U152" s="695"/>
      <c r="V152" s="695"/>
      <c r="W152" s="696"/>
      <c r="X152" s="661"/>
      <c r="Y152" s="698"/>
      <c r="Z152" s="705"/>
      <c r="AA152" s="706"/>
      <c r="AB152" s="707"/>
      <c r="AC152" s="506"/>
      <c r="AD152" s="507"/>
      <c r="AE152" s="508"/>
    </row>
    <row r="153" spans="3:31" ht="30" customHeight="1">
      <c r="C153" s="159">
        <v>37</v>
      </c>
      <c r="D153" s="523" t="str">
        <f>IF(C12="English","Halogenated diphenylmethane（*3）",IF(C12="中文","卤代二苯甲烷（*3）","ハロゲン化ジフェニルメタン（*3）"))</f>
        <v>Halogenated diphenylmethane（*3）</v>
      </c>
      <c r="E153" s="524"/>
      <c r="F153" s="524"/>
      <c r="G153" s="524"/>
      <c r="H153" s="524"/>
      <c r="I153" s="524"/>
      <c r="J153" s="524"/>
      <c r="K153" s="524"/>
      <c r="L153" s="524"/>
      <c r="M153" s="524"/>
      <c r="N153" s="524"/>
      <c r="O153" s="524"/>
      <c r="P153" s="525"/>
      <c r="Q153" s="711" t="str">
        <f>IF(C12="English","All uses",IF(C12="中文","所有用途","全ての用途"))</f>
        <v>All uses</v>
      </c>
      <c r="R153" s="712"/>
      <c r="S153" s="712"/>
      <c r="T153" s="712"/>
      <c r="U153" s="712"/>
      <c r="V153" s="712"/>
      <c r="W153" s="713"/>
      <c r="X153" s="605" t="str">
        <f>IF(C12="English","Intentionally 
added",IF(C12="中文","禁止有意添加","意図的添加禁止"))</f>
        <v>Intentionally 
added</v>
      </c>
      <c r="Y153" s="606"/>
      <c r="Z153" s="606"/>
      <c r="AA153" s="606"/>
      <c r="AB153" s="607"/>
      <c r="AC153" s="506"/>
      <c r="AD153" s="507"/>
      <c r="AE153" s="508"/>
    </row>
    <row r="154" spans="3:31" ht="30" customHeight="1">
      <c r="C154" s="602">
        <v>38</v>
      </c>
      <c r="D154" s="526" t="str">
        <f>IF(C12="English","Benzene
(CAS RN 71-43-2)",IF(C12="中文","苯
(CAS RN 71-43-2) ","ベンゼン
(CAS RN 71-43-2)"))</f>
        <v>Benzene
(CAS RN 71-43-2)</v>
      </c>
      <c r="E154" s="635"/>
      <c r="F154" s="635"/>
      <c r="G154" s="635"/>
      <c r="H154" s="635"/>
      <c r="I154" s="635"/>
      <c r="J154" s="635"/>
      <c r="K154" s="635"/>
      <c r="L154" s="635"/>
      <c r="M154" s="635"/>
      <c r="N154" s="635"/>
      <c r="O154" s="635"/>
      <c r="P154" s="636"/>
      <c r="Q154" s="714" t="str">
        <f>IF(C12="English","Toys or products for children",IF(C12="中文","玩具、儿童产品","玩具、子供向け製品"))</f>
        <v>Toys or products for children</v>
      </c>
      <c r="R154" s="715"/>
      <c r="S154" s="715"/>
      <c r="T154" s="715"/>
      <c r="U154" s="715"/>
      <c r="V154" s="715"/>
      <c r="W154" s="716"/>
      <c r="X154" s="586">
        <v>5</v>
      </c>
      <c r="Y154" s="587"/>
      <c r="Z154" s="587"/>
      <c r="AA154" s="587"/>
      <c r="AB154" s="588"/>
      <c r="AC154" s="577"/>
      <c r="AD154" s="578"/>
      <c r="AE154" s="615"/>
    </row>
    <row r="155" spans="3:31" ht="15" customHeight="1">
      <c r="C155" s="604"/>
      <c r="D155" s="694"/>
      <c r="E155" s="695"/>
      <c r="F155" s="695"/>
      <c r="G155" s="695"/>
      <c r="H155" s="695"/>
      <c r="I155" s="695"/>
      <c r="J155" s="695"/>
      <c r="K155" s="695"/>
      <c r="L155" s="695"/>
      <c r="M155" s="695"/>
      <c r="N155" s="695"/>
      <c r="O155" s="695"/>
      <c r="P155" s="696"/>
      <c r="Q155" s="708" t="str">
        <f>IF(C12="English","Substances or mixture",IF(C12="中文","物质或混合物","物質または混合物"))</f>
        <v>Substances or mixture</v>
      </c>
      <c r="R155" s="709"/>
      <c r="S155" s="709"/>
      <c r="T155" s="709"/>
      <c r="U155" s="709"/>
      <c r="V155" s="709"/>
      <c r="W155" s="710"/>
      <c r="X155" s="623">
        <v>1000</v>
      </c>
      <c r="Y155" s="624"/>
      <c r="Z155" s="624"/>
      <c r="AA155" s="624"/>
      <c r="AB155" s="625"/>
      <c r="AC155" s="620"/>
      <c r="AD155" s="621"/>
      <c r="AE155" s="622"/>
    </row>
    <row r="156" spans="3:31" ht="30" customHeight="1">
      <c r="C156" s="169">
        <v>39</v>
      </c>
      <c r="D156" s="638" t="str">
        <f>IF(C12="English","Tris(1-aziridinyl)phosphine oxide （TAPO）(CAS RN 545-55-1)",IF(C12="中文","三（1-氮丙啶基）氧化膦（TAPO）
(CAS RN 545-55-1)","トリス（1-アジリジニル）ホスフィンオキシド　（TAPO）(CAS RN 545-55-1)"))</f>
        <v>Tris(1-aziridinyl)phosphine oxide （TAPO）(CAS RN 545-55-1)</v>
      </c>
      <c r="E156" s="644"/>
      <c r="F156" s="644"/>
      <c r="G156" s="644"/>
      <c r="H156" s="644"/>
      <c r="I156" s="644"/>
      <c r="J156" s="644"/>
      <c r="K156" s="644"/>
      <c r="L156" s="644"/>
      <c r="M156" s="644"/>
      <c r="N156" s="644"/>
      <c r="O156" s="644"/>
      <c r="P156" s="645"/>
      <c r="Q156" s="679" t="str">
        <f>IF(C12="English","Textile products in contact with human skin directly",IF(C12="中文","直接接触皮肤的纤维产品","直接皮膚に触れる繊維製品"))</f>
        <v>Textile products in contact with human skin directly</v>
      </c>
      <c r="R156" s="680"/>
      <c r="S156" s="680"/>
      <c r="T156" s="680"/>
      <c r="U156" s="680"/>
      <c r="V156" s="680"/>
      <c r="W156" s="681"/>
      <c r="X156" s="605" t="str">
        <f>IF(C12="English","Intentionally 
added",IF(C12="中文","禁止有意添加","意図的添加禁止"))</f>
        <v>Intentionally 
added</v>
      </c>
      <c r="Y156" s="606"/>
      <c r="Z156" s="606"/>
      <c r="AA156" s="606"/>
      <c r="AB156" s="607"/>
      <c r="AC156" s="506"/>
      <c r="AD156" s="507"/>
      <c r="AE156" s="508"/>
    </row>
    <row r="157" spans="3:31" ht="30" customHeight="1">
      <c r="C157" s="169">
        <v>40</v>
      </c>
      <c r="D157" s="638" t="str">
        <f>IF(C12="English","Tris(2,3-dibromopropyl) phosphate (TBPP)   (CAS RN 126-72-7)",IF(C12="中文","三（2,3-二溴丙基）磷酸酯（TBPP）
(CAS RN 126-72-7)","リン酸トリス（2,3－ジブロモプロピル）（TBPP）(CAS RN 126-72-7)"))</f>
        <v>Tris(2,3-dibromopropyl) phosphate (TBPP)   (CAS RN 126-72-7)</v>
      </c>
      <c r="E157" s="644"/>
      <c r="F157" s="644"/>
      <c r="G157" s="644"/>
      <c r="H157" s="644"/>
      <c r="I157" s="644"/>
      <c r="J157" s="644"/>
      <c r="K157" s="644"/>
      <c r="L157" s="644"/>
      <c r="M157" s="644"/>
      <c r="N157" s="644"/>
      <c r="O157" s="644"/>
      <c r="P157" s="645"/>
      <c r="Q157" s="679" t="str">
        <f>IF(C12="English","Textile products in contact with human skin directly",IF(C12="中文","直接接触皮肤的纤维产品","直接皮膚に触れる繊維製品"))</f>
        <v>Textile products in contact with human skin directly</v>
      </c>
      <c r="R157" s="680"/>
      <c r="S157" s="680"/>
      <c r="T157" s="680"/>
      <c r="U157" s="680"/>
      <c r="V157" s="680"/>
      <c r="W157" s="681"/>
      <c r="X157" s="605" t="str">
        <f>IF(C12="English","Intentionally 
added",IF(C12="中文","禁止有意添加","意図的添加禁止"))</f>
        <v>Intentionally 
added</v>
      </c>
      <c r="Y157" s="606"/>
      <c r="Z157" s="606"/>
      <c r="AA157" s="606"/>
      <c r="AB157" s="607"/>
      <c r="AC157" s="506"/>
      <c r="AD157" s="507"/>
      <c r="AE157" s="508"/>
    </row>
    <row r="158" spans="3:31" ht="15" customHeight="1">
      <c r="C158" s="169">
        <v>41</v>
      </c>
      <c r="D158" s="638" t="str">
        <f>IF(C12="English","Perchlorates",IF(C12="中文","高氯酸盐","過塩素酸塩"))</f>
        <v>Perchlorates</v>
      </c>
      <c r="E158" s="644"/>
      <c r="F158" s="644"/>
      <c r="G158" s="644"/>
      <c r="H158" s="644"/>
      <c r="I158" s="644"/>
      <c r="J158" s="644"/>
      <c r="K158" s="644"/>
      <c r="L158" s="644"/>
      <c r="M158" s="644"/>
      <c r="N158" s="644"/>
      <c r="O158" s="644"/>
      <c r="P158" s="645"/>
      <c r="Q158" s="679" t="str">
        <f>IF(C12="English","All uses",IF(C12="中文","所有用途","全ての用途"))</f>
        <v>All uses</v>
      </c>
      <c r="R158" s="680"/>
      <c r="S158" s="680"/>
      <c r="T158" s="680"/>
      <c r="U158" s="680"/>
      <c r="V158" s="680"/>
      <c r="W158" s="681"/>
      <c r="X158" s="605" t="str">
        <f>IF(C12="English","0.006ppm of parts",IF(C12="中文","产品的 0.006","製品の 0.006"))</f>
        <v>0.006ppm of parts</v>
      </c>
      <c r="Y158" s="606"/>
      <c r="Z158" s="606"/>
      <c r="AA158" s="606"/>
      <c r="AB158" s="607"/>
      <c r="AC158" s="506"/>
      <c r="AD158" s="507"/>
      <c r="AE158" s="508"/>
    </row>
    <row r="159" spans="3:31" ht="30" customHeight="1">
      <c r="C159" s="168">
        <v>42</v>
      </c>
      <c r="D159" s="638" t="str">
        <f>IF(C12="English","2,4,6-Tri-tert-butylphenol  
(CAS RN 732-26-3)",IF(C12="中文","2,4,6-三-叔-丁基苯酚
(CAS RN 732-26-3)","2,4,6-トリ-ターシャリ-ブチルフェノール
(CAS RN 732-26-3)"))</f>
        <v>2,4,6-Tri-tert-butylphenol  
(CAS RN 732-26-3)</v>
      </c>
      <c r="E159" s="644"/>
      <c r="F159" s="644"/>
      <c r="G159" s="644"/>
      <c r="H159" s="644"/>
      <c r="I159" s="644"/>
      <c r="J159" s="644"/>
      <c r="K159" s="644"/>
      <c r="L159" s="644"/>
      <c r="M159" s="644"/>
      <c r="N159" s="644"/>
      <c r="O159" s="644"/>
      <c r="P159" s="645"/>
      <c r="Q159" s="667" t="str">
        <f>IF(C12="English","All uses",IF(C12="中文","所有用途","全ての用途"))</f>
        <v>All uses</v>
      </c>
      <c r="R159" s="668"/>
      <c r="S159" s="668"/>
      <c r="T159" s="668"/>
      <c r="U159" s="668"/>
      <c r="V159" s="668"/>
      <c r="W159" s="669"/>
      <c r="X159" s="605" t="str">
        <f>IF(C12="English","Intentionally 
added",IF(C12="中文","禁止有意添加","意図的添加禁止"))</f>
        <v>Intentionally 
added</v>
      </c>
      <c r="Y159" s="606"/>
      <c r="Z159" s="606"/>
      <c r="AA159" s="606"/>
      <c r="AB159" s="607"/>
      <c r="AC159" s="506"/>
      <c r="AD159" s="507"/>
      <c r="AE159" s="508"/>
    </row>
    <row r="160" spans="3:31" ht="75" customHeight="1">
      <c r="C160" s="159">
        <v>43</v>
      </c>
      <c r="D160" s="638" t="str">
        <f>IF(C12="English","Hg, Cd, Cr(VI), Pb, Phthalate esters 4 substances (DEHP, DBP, BBP, DIBP)",IF(C12="中文","汞、镉、六价铬、铅、邻苯二甲酸酯4物质(DEHP, DBP, BBP, DIBP)","水銀、カドミウム、六価クロム、鉛、フタル酸エステル4物質(DEHP, DBP, BBP, DIBP)"))</f>
        <v>Hg, Cd, Cr(VI), Pb, Phthalate esters 4 substances (DEHP, DBP, BBP, DIBP)</v>
      </c>
      <c r="E160" s="644"/>
      <c r="F160" s="644"/>
      <c r="G160" s="644"/>
      <c r="H160" s="644"/>
      <c r="I160" s="644"/>
      <c r="J160" s="644"/>
      <c r="K160" s="644"/>
      <c r="L160" s="644"/>
      <c r="M160" s="644"/>
      <c r="N160" s="644"/>
      <c r="O160" s="644"/>
      <c r="P160" s="645"/>
      <c r="Q160" s="667" t="str">
        <f>IF(C12="English","Packing/Packaging material",IF(C12="中文","包装、梱包材","包装・梱包材"))</f>
        <v>Packing/Packaging material</v>
      </c>
      <c r="R160" s="668"/>
      <c r="S160" s="668"/>
      <c r="T160" s="668"/>
      <c r="U160" s="668"/>
      <c r="V160" s="668"/>
      <c r="W160" s="669"/>
      <c r="X160" s="605" t="str">
        <f>IF(C12="English","Hg, Cd, Cr(VI), Pb
in total ; 100
Phthalate esters
in total ; 1,000",IF(C12="中文","镉、铅、六价铬、水银合计:100  邻苯二甲酸酯合计:1000","水銀、カドミウム、六価クロム、鉛：合計:100  フタル酸エステル：合計:1000"))</f>
        <v>Hg, Cd, Cr(VI), Pb
in total ; 100
Phthalate esters
in total ; 1,000</v>
      </c>
      <c r="Y160" s="606"/>
      <c r="Z160" s="606"/>
      <c r="AA160" s="606"/>
      <c r="AB160" s="607"/>
      <c r="AC160" s="506"/>
      <c r="AD160" s="507"/>
      <c r="AE160" s="508"/>
    </row>
    <row r="161" spans="3:31" ht="30" customHeight="1">
      <c r="C161" s="168">
        <v>44</v>
      </c>
      <c r="D161" s="638" t="str">
        <f>IF(C12="English","Pentachlorothiophenol (PCTP)
(CAS RN 133-49-3)",IF(C12="中文","五氯苯硫酚(PCTP)
(CAS RN 133-49-3)","ペンタクロロチオフェノール (PCTP)
(CAS RN 133-49-3)"))</f>
        <v>Pentachlorothiophenol (PCTP)
(CAS RN 133-49-3)</v>
      </c>
      <c r="E161" s="644"/>
      <c r="F161" s="644"/>
      <c r="G161" s="644"/>
      <c r="H161" s="644"/>
      <c r="I161" s="644"/>
      <c r="J161" s="644"/>
      <c r="K161" s="644"/>
      <c r="L161" s="644"/>
      <c r="M161" s="644"/>
      <c r="N161" s="644"/>
      <c r="O161" s="644"/>
      <c r="P161" s="645"/>
      <c r="Q161" s="667" t="str">
        <f>IF(C12="English","All uses",IF(C12="中文","所有用途","全ての用途"))</f>
        <v>All uses</v>
      </c>
      <c r="R161" s="668"/>
      <c r="S161" s="668"/>
      <c r="T161" s="668"/>
      <c r="U161" s="668"/>
      <c r="V161" s="668"/>
      <c r="W161" s="669"/>
      <c r="X161" s="717">
        <v>0.01</v>
      </c>
      <c r="Y161" s="606"/>
      <c r="Z161" s="606"/>
      <c r="AA161" s="606"/>
      <c r="AB161" s="607"/>
      <c r="AC161" s="506"/>
      <c r="AD161" s="507"/>
      <c r="AE161" s="508"/>
    </row>
    <row r="162" spans="3:31" ht="30" customHeight="1">
      <c r="C162" s="168">
        <v>45</v>
      </c>
      <c r="D162" s="638" t="str">
        <f>IF(C12="English","Hexachlorobutadiene (HCBD)
(CAS RN 87-68-3)",IF(C12="中文","六氯丁二烯 (HCBD)
(CAS RN 87-68-3)","ヘキサクロロブタジエン (HCBD)
(CAS RN 87-68-3)"))</f>
        <v>Hexachlorobutadiene (HCBD)
(CAS RN 87-68-3)</v>
      </c>
      <c r="E162" s="644"/>
      <c r="F162" s="644"/>
      <c r="G162" s="644"/>
      <c r="H162" s="644"/>
      <c r="I162" s="644"/>
      <c r="J162" s="644"/>
      <c r="K162" s="644"/>
      <c r="L162" s="644"/>
      <c r="M162" s="644"/>
      <c r="N162" s="644"/>
      <c r="O162" s="644"/>
      <c r="P162" s="645"/>
      <c r="Q162" s="667" t="str">
        <f>IF(C12="English","All uses",IF(C12="中文","所有用途","全ての用途"))</f>
        <v>All uses</v>
      </c>
      <c r="R162" s="668"/>
      <c r="S162" s="668"/>
      <c r="T162" s="668"/>
      <c r="U162" s="668"/>
      <c r="V162" s="668"/>
      <c r="W162" s="669"/>
      <c r="X162" s="605" t="str">
        <f>IF(C12="English","Intentionally 
added",IF(C12="中文","禁止有意添加","意図的添加禁止"))</f>
        <v>Intentionally 
added</v>
      </c>
      <c r="Y162" s="606"/>
      <c r="Z162" s="606"/>
      <c r="AA162" s="606"/>
      <c r="AB162" s="607"/>
      <c r="AC162" s="506"/>
      <c r="AD162" s="507"/>
      <c r="AE162" s="508"/>
    </row>
    <row r="163" spans="3:31" ht="30" customHeight="1">
      <c r="C163" s="168">
        <v>46</v>
      </c>
      <c r="D163" s="638" t="str">
        <f>IF(C12="English","Phenol, isopropylated　phosphate (PIP(3:1))(CAS RN 68937-41-7)",IF(C12="中文","异丙基化磷酸三苯酯 (PIP(3:1))(CAS RN 68937-41-7)","リン酸トリアリールイソプロピル化合物 (PIP(3:1))(CAS RN 68937-41-7)"))</f>
        <v>Phenol, isopropylated　phosphate (PIP(3:1))(CAS RN 68937-41-7)</v>
      </c>
      <c r="E163" s="644"/>
      <c r="F163" s="644"/>
      <c r="G163" s="644"/>
      <c r="H163" s="644"/>
      <c r="I163" s="644"/>
      <c r="J163" s="644"/>
      <c r="K163" s="644"/>
      <c r="L163" s="644"/>
      <c r="M163" s="644"/>
      <c r="N163" s="644"/>
      <c r="O163" s="644"/>
      <c r="P163" s="645"/>
      <c r="Q163" s="667" t="str">
        <f>IF(C12="English","All uses",IF(C12="中文","所有用途","全ての用途"))</f>
        <v>All uses</v>
      </c>
      <c r="R163" s="668"/>
      <c r="S163" s="668"/>
      <c r="T163" s="668"/>
      <c r="U163" s="668"/>
      <c r="V163" s="668"/>
      <c r="W163" s="669"/>
      <c r="X163" s="605" t="str">
        <f>IF(C12="English","Intentionally 
added",IF(C12="中文","禁止有意添加","意図的添加禁止"))</f>
        <v>Intentionally 
added</v>
      </c>
      <c r="Y163" s="606"/>
      <c r="Z163" s="606"/>
      <c r="AA163" s="606"/>
      <c r="AB163" s="607"/>
      <c r="AC163" s="506"/>
      <c r="AD163" s="507"/>
      <c r="AE163" s="508"/>
    </row>
    <row r="164" spans="3:31" ht="30" customHeight="1">
      <c r="C164" s="168">
        <v>47</v>
      </c>
      <c r="D164" s="638" t="str">
        <f>IF(C12="English","Perfluorohexane sulfonates (PFHxS) and its salts and PFHxS-related substances",IF(C17="中文","全氟己基磺酸(PFHxS)及其盐和相关物质","ペルフルオロヘキサンスルホン酸（PFHxS）とその塩及び関連物質"))</f>
        <v>Perfluorohexane sulfonates (PFHxS) and its salts and PFHxS-related substances</v>
      </c>
      <c r="E164" s="644"/>
      <c r="F164" s="644"/>
      <c r="G164" s="644"/>
      <c r="H164" s="644"/>
      <c r="I164" s="644"/>
      <c r="J164" s="644"/>
      <c r="K164" s="644"/>
      <c r="L164" s="644"/>
      <c r="M164" s="644"/>
      <c r="N164" s="644"/>
      <c r="O164" s="644"/>
      <c r="P164" s="645"/>
      <c r="Q164" s="667" t="str">
        <f>IF(C12="English","All uses",IF(C12="中文","所有用途","全ての用途"))</f>
        <v>All uses</v>
      </c>
      <c r="R164" s="668"/>
      <c r="S164" s="668"/>
      <c r="T164" s="668"/>
      <c r="U164" s="668"/>
      <c r="V164" s="668"/>
      <c r="W164" s="669"/>
      <c r="X164" s="605" t="str">
        <f>IF(C12="English","Intentionally 
added",IF(C12="中文","禁止有意添加","意図的添加禁止"))</f>
        <v>Intentionally 
added</v>
      </c>
      <c r="Y164" s="606"/>
      <c r="Z164" s="606"/>
      <c r="AA164" s="606"/>
      <c r="AB164" s="607"/>
      <c r="AC164" s="506"/>
      <c r="AD164" s="507"/>
      <c r="AE164" s="508"/>
    </row>
    <row r="165" spans="3:31" ht="30" customHeight="1">
      <c r="C165" s="168">
        <v>48</v>
      </c>
      <c r="D165" s="638" t="str">
        <f>IF(C12="English","Methylene Chloride
(CAS RN 75-09-2)",IF(C20="中文","二氯甲烷
(CAS RN 75-09-2)","ジクロロメタン
(CAS RN 75-09-2)"))</f>
        <v>Methylene Chloride
(CAS RN 75-09-2)</v>
      </c>
      <c r="E165" s="644"/>
      <c r="F165" s="644"/>
      <c r="G165" s="644"/>
      <c r="H165" s="644"/>
      <c r="I165" s="644"/>
      <c r="J165" s="644"/>
      <c r="K165" s="644"/>
      <c r="L165" s="644"/>
      <c r="M165" s="644"/>
      <c r="N165" s="644"/>
      <c r="O165" s="644"/>
      <c r="P165" s="645"/>
      <c r="Q165" s="667" t="str">
        <f>IF(C12="English","All uses",IF(C12="中文","所有用途","全ての用途"))</f>
        <v>All uses</v>
      </c>
      <c r="R165" s="668"/>
      <c r="S165" s="668"/>
      <c r="T165" s="668"/>
      <c r="U165" s="668"/>
      <c r="V165" s="668"/>
      <c r="W165" s="669"/>
      <c r="X165" s="605" t="str">
        <f>IF(C12="English","Intentionally 
added",IF(C12="中文","禁止有意添加","意図的添加禁止"))</f>
        <v>Intentionally 
added</v>
      </c>
      <c r="Y165" s="606"/>
      <c r="Z165" s="606"/>
      <c r="AA165" s="606"/>
      <c r="AB165" s="607"/>
      <c r="AC165" s="506"/>
      <c r="AD165" s="507"/>
      <c r="AE165" s="508"/>
    </row>
    <row r="166" spans="3:31" ht="30" customHeight="1">
      <c r="C166" s="168">
        <v>49</v>
      </c>
      <c r="D166" s="638" t="str">
        <f>IF(C12="English","1-Bromopropane 
(CAS RN 106-94-5)",IF(C21="中文","1-溴丙烷
(CAS RN 106-94-5)","1-ブロモプロパン
(CAS RN 106-94-5)"))</f>
        <v>1-Bromopropane 
(CAS RN 106-94-5)</v>
      </c>
      <c r="E166" s="644"/>
      <c r="F166" s="644"/>
      <c r="G166" s="644"/>
      <c r="H166" s="644"/>
      <c r="I166" s="644"/>
      <c r="J166" s="644"/>
      <c r="K166" s="644"/>
      <c r="L166" s="644"/>
      <c r="M166" s="644"/>
      <c r="N166" s="644"/>
      <c r="O166" s="644"/>
      <c r="P166" s="645"/>
      <c r="Q166" s="667" t="str">
        <f>IF(C12="English","All uses",IF(C12="中文","所有用途","全ての用途"))</f>
        <v>All uses</v>
      </c>
      <c r="R166" s="668"/>
      <c r="S166" s="668"/>
      <c r="T166" s="668"/>
      <c r="U166" s="668"/>
      <c r="V166" s="668"/>
      <c r="W166" s="669"/>
      <c r="X166" s="605" t="str">
        <f>IF(C12="English","Intentionally 
added",IF(C12="中文","禁止有意添加","意図的添加禁止"))</f>
        <v>Intentionally 
added</v>
      </c>
      <c r="Y166" s="606"/>
      <c r="Z166" s="606"/>
      <c r="AA166" s="606"/>
      <c r="AB166" s="607"/>
      <c r="AC166" s="506"/>
      <c r="AD166" s="507"/>
      <c r="AE166" s="508"/>
    </row>
    <row r="167" spans="3:31" ht="30" customHeight="1">
      <c r="C167" s="168">
        <v>50</v>
      </c>
      <c r="D167" s="638" t="str">
        <f>IF(C12="English","Carbon Tetrachloride
(CAS RN 56-23-5)",IF(C22="中文","四氯化碳
(CAS RN 56-23-5)","四塩化炭素
(CAS RN 56-23-5)"))</f>
        <v>Carbon Tetrachloride
(CAS RN 56-23-5)</v>
      </c>
      <c r="E167" s="644"/>
      <c r="F167" s="644"/>
      <c r="G167" s="644"/>
      <c r="H167" s="644"/>
      <c r="I167" s="644"/>
      <c r="J167" s="644"/>
      <c r="K167" s="644"/>
      <c r="L167" s="644"/>
      <c r="M167" s="644"/>
      <c r="N167" s="644"/>
      <c r="O167" s="644"/>
      <c r="P167" s="645"/>
      <c r="Q167" s="667" t="str">
        <f>IF(C12="English","All uses",IF(C12="中文","所有用途","全ての用途"))</f>
        <v>All uses</v>
      </c>
      <c r="R167" s="668"/>
      <c r="S167" s="668"/>
      <c r="T167" s="668"/>
      <c r="U167" s="668"/>
      <c r="V167" s="668"/>
      <c r="W167" s="669"/>
      <c r="X167" s="605" t="str">
        <f>IF(C12="English","Intentionally 
added",IF(C12="中文","禁止有意添加","意図的添加禁止"))</f>
        <v>Intentionally 
added</v>
      </c>
      <c r="Y167" s="606"/>
      <c r="Z167" s="606"/>
      <c r="AA167" s="606"/>
      <c r="AB167" s="607"/>
      <c r="AC167" s="506"/>
      <c r="AD167" s="507"/>
      <c r="AE167" s="508"/>
    </row>
    <row r="168" spans="3:31" ht="30" customHeight="1">
      <c r="C168" s="168">
        <v>51</v>
      </c>
      <c r="D168" s="638" t="str">
        <f>IF(C12="English","1,4-dioxane
(CAS RN 123-91-1)",IF(C23="中文","1,4-二氧六环
(CAS RN 123-91-1)","1,4-ジオキサン
(CAS RN 123-91-1)"))</f>
        <v>1,4-dioxane
(CAS RN 123-91-1)</v>
      </c>
      <c r="E168" s="644"/>
      <c r="F168" s="644"/>
      <c r="G168" s="644"/>
      <c r="H168" s="644"/>
      <c r="I168" s="644"/>
      <c r="J168" s="644"/>
      <c r="K168" s="644"/>
      <c r="L168" s="644"/>
      <c r="M168" s="644"/>
      <c r="N168" s="644"/>
      <c r="O168" s="644"/>
      <c r="P168" s="645"/>
      <c r="Q168" s="667" t="str">
        <f>IF(C12="English","All uses",IF(C12="中文","所有用途","全ての用途"))</f>
        <v>All uses</v>
      </c>
      <c r="R168" s="668"/>
      <c r="S168" s="668"/>
      <c r="T168" s="668"/>
      <c r="U168" s="668"/>
      <c r="V168" s="668"/>
      <c r="W168" s="669"/>
      <c r="X168" s="605" t="str">
        <f>IF(C12="English","Intentionally 
added",IF(C12="中文","禁止有意添加","意図的添加禁止"))</f>
        <v>Intentionally 
added</v>
      </c>
      <c r="Y168" s="606"/>
      <c r="Z168" s="606"/>
      <c r="AA168" s="606"/>
      <c r="AB168" s="607"/>
      <c r="AC168" s="506"/>
      <c r="AD168" s="507"/>
      <c r="AE168" s="508"/>
    </row>
    <row r="169" spans="3:31" ht="30" customHeight="1">
      <c r="C169" s="159">
        <v>52</v>
      </c>
      <c r="D169" s="638" t="str">
        <f>IF(C12="English","N-Methylpyrrolidone (NMP)
(CAS RN 872-50-4)",IF(C24="中文","N-甲基-2-吡咯烷酮(NMP)
(CAS RN 872-50-4)","N-メチル-2-ピロリドン (NMP)
(CAS RN 872-50-4)"))</f>
        <v>N-Methylpyrrolidone (NMP)
(CAS RN 872-50-4)</v>
      </c>
      <c r="E169" s="644"/>
      <c r="F169" s="644"/>
      <c r="G169" s="644"/>
      <c r="H169" s="644"/>
      <c r="I169" s="644"/>
      <c r="J169" s="644"/>
      <c r="K169" s="644"/>
      <c r="L169" s="644"/>
      <c r="M169" s="644"/>
      <c r="N169" s="644"/>
      <c r="O169" s="644"/>
      <c r="P169" s="645"/>
      <c r="Q169" s="667" t="str">
        <f>IF(C12="English","All uses",IF(C12="中文","所有用途","全ての用途"))</f>
        <v>All uses</v>
      </c>
      <c r="R169" s="668"/>
      <c r="S169" s="668"/>
      <c r="T169" s="668"/>
      <c r="U169" s="668"/>
      <c r="V169" s="668"/>
      <c r="W169" s="669"/>
      <c r="X169" s="605" t="str">
        <f>IF(C12="English","Intentionally 
added",IF(C12="中文","禁止有意添加","意図的添加禁止"))</f>
        <v>Intentionally 
added</v>
      </c>
      <c r="Y169" s="606"/>
      <c r="Z169" s="606"/>
      <c r="AA169" s="606"/>
      <c r="AB169" s="607"/>
      <c r="AC169" s="506"/>
      <c r="AD169" s="507"/>
      <c r="AE169" s="508"/>
    </row>
    <row r="170" spans="3:31" ht="15" customHeight="1">
      <c r="C170" s="152"/>
      <c r="D170" s="167"/>
      <c r="E170" s="167"/>
      <c r="F170" s="167"/>
      <c r="G170" s="167"/>
      <c r="H170" s="167"/>
      <c r="I170" s="167"/>
      <c r="J170" s="167"/>
      <c r="K170" s="167"/>
      <c r="L170" s="167"/>
      <c r="M170" s="167"/>
      <c r="N170" s="167"/>
      <c r="O170" s="167"/>
      <c r="P170" s="167"/>
      <c r="Q170" s="157"/>
      <c r="R170" s="157"/>
      <c r="S170" s="157"/>
      <c r="T170" s="157"/>
      <c r="U170" s="157"/>
      <c r="V170" s="157"/>
      <c r="W170" s="157"/>
      <c r="X170" s="162"/>
      <c r="Y170" s="162"/>
      <c r="Z170" s="162"/>
      <c r="AA170" s="162"/>
      <c r="AB170" s="162"/>
      <c r="AC170" s="164"/>
      <c r="AD170" s="164"/>
      <c r="AE170" s="164"/>
    </row>
    <row r="171" spans="3:31" ht="15" customHeight="1">
      <c r="C171" s="152"/>
      <c r="D171" s="167"/>
      <c r="E171" s="167"/>
      <c r="F171" s="167"/>
      <c r="G171" s="167"/>
      <c r="H171" s="167"/>
      <c r="I171" s="167"/>
      <c r="J171" s="167"/>
      <c r="K171" s="167"/>
      <c r="L171" s="167"/>
      <c r="M171" s="167"/>
      <c r="N171" s="167"/>
      <c r="O171" s="167"/>
      <c r="P171" s="167"/>
      <c r="Q171" s="157"/>
      <c r="R171" s="157"/>
      <c r="S171" s="157"/>
      <c r="T171" s="157"/>
      <c r="U171" s="157"/>
      <c r="V171" s="157"/>
      <c r="W171" s="157"/>
      <c r="X171" s="162"/>
      <c r="Y171" s="162"/>
      <c r="Z171" s="162"/>
      <c r="AA171" s="162"/>
      <c r="AB171" s="162"/>
      <c r="AC171" s="164"/>
      <c r="AD171" s="164"/>
      <c r="AE171" s="164"/>
    </row>
    <row r="172" spans="3:31" ht="15" customHeight="1">
      <c r="C172" s="152"/>
      <c r="D172" s="167"/>
      <c r="E172" s="167"/>
      <c r="F172" s="167"/>
      <c r="G172" s="167"/>
      <c r="H172" s="167"/>
      <c r="I172" s="167"/>
      <c r="J172" s="167"/>
      <c r="K172" s="167"/>
      <c r="L172" s="167"/>
      <c r="M172" s="167"/>
      <c r="N172" s="167"/>
      <c r="O172" s="167"/>
      <c r="P172" s="167"/>
      <c r="Q172" s="157"/>
      <c r="R172" s="157"/>
      <c r="S172" s="157"/>
      <c r="T172" s="157"/>
      <c r="U172" s="157"/>
      <c r="V172" s="157"/>
      <c r="W172" s="157"/>
      <c r="X172" s="162"/>
      <c r="Y172" s="162"/>
      <c r="Z172" s="162"/>
      <c r="AA172" s="162"/>
      <c r="AB172" s="162"/>
      <c r="AC172" s="164"/>
      <c r="AD172" s="164"/>
      <c r="AE172" s="164"/>
    </row>
    <row r="173" spans="3:31" ht="15" customHeight="1">
      <c r="C173" s="152"/>
      <c r="D173" s="165"/>
      <c r="E173" s="165"/>
      <c r="F173" s="165"/>
      <c r="G173" s="165"/>
      <c r="H173" s="165"/>
      <c r="I173" s="165"/>
      <c r="J173" s="165"/>
      <c r="K173" s="165"/>
      <c r="L173" s="165"/>
      <c r="M173" s="165"/>
      <c r="N173" s="165"/>
      <c r="O173" s="165"/>
      <c r="P173" s="165"/>
      <c r="Q173" s="163"/>
      <c r="R173" s="163"/>
      <c r="S173" s="163"/>
      <c r="T173" s="163"/>
      <c r="U173" s="163"/>
      <c r="V173" s="163"/>
      <c r="W173" s="163"/>
      <c r="X173" s="162"/>
      <c r="Y173" s="162"/>
      <c r="Z173" s="162"/>
      <c r="AA173" s="162"/>
      <c r="AB173" s="162"/>
      <c r="AC173" s="164"/>
      <c r="AD173" s="164"/>
      <c r="AE173" s="164"/>
    </row>
    <row r="174" spans="3:31" ht="15" customHeight="1">
      <c r="C174" s="152"/>
      <c r="D174" s="165"/>
      <c r="E174" s="165"/>
      <c r="F174" s="165"/>
      <c r="G174" s="165"/>
      <c r="H174" s="165"/>
      <c r="I174" s="165"/>
      <c r="J174" s="165"/>
      <c r="K174" s="165"/>
      <c r="L174" s="165"/>
      <c r="M174" s="165"/>
      <c r="N174" s="165"/>
      <c r="O174" s="165"/>
      <c r="P174" s="165"/>
      <c r="Q174" s="163"/>
      <c r="R174" s="163"/>
      <c r="S174" s="163"/>
      <c r="T174" s="163"/>
      <c r="U174" s="163"/>
      <c r="V174" s="163"/>
      <c r="W174" s="163"/>
      <c r="X174" s="162"/>
      <c r="Y174" s="162"/>
      <c r="Z174" s="162"/>
      <c r="AA174" s="162"/>
      <c r="AB174" s="162"/>
      <c r="AC174" s="164"/>
      <c r="AD174" s="164"/>
      <c r="AE174" s="164"/>
    </row>
    <row r="175" spans="3:31" ht="30" customHeight="1">
      <c r="C175" s="168">
        <v>53</v>
      </c>
      <c r="D175" s="638" t="str">
        <f>IF(C12="English","Perchloroethylene
(CAS RN 127-18-4)",IF(C25="中文","四氯乙烯
(CAS RN 127-18-4)","テトラクロロエチレン
(CAS RN 127-18-4)"))</f>
        <v>Perchloroethylene
(CAS RN 127-18-4)</v>
      </c>
      <c r="E175" s="644"/>
      <c r="F175" s="644"/>
      <c r="G175" s="644"/>
      <c r="H175" s="644"/>
      <c r="I175" s="644"/>
      <c r="J175" s="644"/>
      <c r="K175" s="644"/>
      <c r="L175" s="644"/>
      <c r="M175" s="644"/>
      <c r="N175" s="644"/>
      <c r="O175" s="644"/>
      <c r="P175" s="645"/>
      <c r="Q175" s="667" t="str">
        <f>IF(C12="English","All uses",IF(C12="中文","所有用途","全ての用途"))</f>
        <v>All uses</v>
      </c>
      <c r="R175" s="668"/>
      <c r="S175" s="668"/>
      <c r="T175" s="668"/>
      <c r="U175" s="668"/>
      <c r="V175" s="668"/>
      <c r="W175" s="669"/>
      <c r="X175" s="605" t="str">
        <f>IF(C12="English","Intentionally 
added",IF(C12="中文","禁止有意添加","意図的添加禁止"))</f>
        <v>Intentionally 
added</v>
      </c>
      <c r="Y175" s="606"/>
      <c r="Z175" s="606"/>
      <c r="AA175" s="606"/>
      <c r="AB175" s="607"/>
      <c r="AC175" s="506"/>
      <c r="AD175" s="507"/>
      <c r="AE175" s="508"/>
    </row>
    <row r="176" spans="3:31" ht="30" customHeight="1">
      <c r="C176" s="159">
        <v>54</v>
      </c>
      <c r="D176" s="638" t="str">
        <f>IF(C12="English","Pigment Violet 29
(CAS RN 81-33-4)",IF(C26="中文","苝艳紫红29
(CAS RN 81-33-4)
","ピグメントバイオレット29
(CAS RN 81-33-4)"))</f>
        <v>Pigment Violet 29
(CAS RN 81-33-4)</v>
      </c>
      <c r="E176" s="644"/>
      <c r="F176" s="644"/>
      <c r="G176" s="644"/>
      <c r="H176" s="644"/>
      <c r="I176" s="644"/>
      <c r="J176" s="644"/>
      <c r="K176" s="644"/>
      <c r="L176" s="644"/>
      <c r="M176" s="644"/>
      <c r="N176" s="644"/>
      <c r="O176" s="644"/>
      <c r="P176" s="645"/>
      <c r="Q176" s="667" t="str">
        <f>IF(C12="English","All uses",IF(C12="中文","所有用途","全ての用途"))</f>
        <v>All uses</v>
      </c>
      <c r="R176" s="668"/>
      <c r="S176" s="668"/>
      <c r="T176" s="668"/>
      <c r="U176" s="668"/>
      <c r="V176" s="668"/>
      <c r="W176" s="669"/>
      <c r="X176" s="605" t="str">
        <f>IF(C12="English","Intentionally 
added",IF(C12="中文","禁止有意添加","意図的添加禁止"))</f>
        <v>Intentionally 
added</v>
      </c>
      <c r="Y176" s="606"/>
      <c r="Z176" s="606"/>
      <c r="AA176" s="606"/>
      <c r="AB176" s="607"/>
      <c r="AC176" s="506"/>
      <c r="AD176" s="507"/>
      <c r="AE176" s="508"/>
    </row>
    <row r="177" spans="2:34" ht="30" customHeight="1">
      <c r="C177" s="168">
        <v>55</v>
      </c>
      <c r="D177" s="638" t="str">
        <f>IF(C12="English","Trichloroethylene (TCE)
(CAS RN 79-01-6)",IF(C27="中文","三氯乙烯 (TCE)
(CAS RN 79-01-6)","トリクロロエチレン (TCE)
(CAS RN 79-01-6)"))</f>
        <v>Trichloroethylene (TCE)
(CAS RN 79-01-6)</v>
      </c>
      <c r="E177" s="644"/>
      <c r="F177" s="644"/>
      <c r="G177" s="644"/>
      <c r="H177" s="644"/>
      <c r="I177" s="644"/>
      <c r="J177" s="644"/>
      <c r="K177" s="644"/>
      <c r="L177" s="644"/>
      <c r="M177" s="644"/>
      <c r="N177" s="644"/>
      <c r="O177" s="644"/>
      <c r="P177" s="645"/>
      <c r="Q177" s="667" t="str">
        <f>IF(C12="English","All uses",IF(C12="中文","所有用途","全ての用途"))</f>
        <v>All uses</v>
      </c>
      <c r="R177" s="668"/>
      <c r="S177" s="668"/>
      <c r="T177" s="668"/>
      <c r="U177" s="668"/>
      <c r="V177" s="668"/>
      <c r="W177" s="669"/>
      <c r="X177" s="605" t="str">
        <f>IF(C12="English","Intentionally 
added",IF(C12="中文","禁止有意添加","意図的添加禁止"))</f>
        <v>Intentionally 
added</v>
      </c>
      <c r="Y177" s="606"/>
      <c r="Z177" s="606"/>
      <c r="AA177" s="606"/>
      <c r="AB177" s="607"/>
      <c r="AC177" s="506"/>
      <c r="AD177" s="507"/>
      <c r="AE177" s="508"/>
    </row>
    <row r="178" spans="2:34" ht="63" customHeight="1">
      <c r="C178" s="602">
        <v>56</v>
      </c>
      <c r="D178" s="526" t="str">
        <f>IF(C12="English","China VOC Regulated Substances",IF(C12="中文","中国VOC管理物质","中国VOC規制物質"))</f>
        <v>China VOC Regulated Substances</v>
      </c>
      <c r="E178" s="635"/>
      <c r="F178" s="635"/>
      <c r="G178" s="635"/>
      <c r="H178" s="635"/>
      <c r="I178" s="635"/>
      <c r="J178" s="635"/>
      <c r="K178" s="635"/>
      <c r="L178" s="635"/>
      <c r="M178" s="635"/>
      <c r="N178" s="635"/>
      <c r="O178" s="635"/>
      <c r="P178" s="636"/>
      <c r="Q178" s="652" t="str">
        <f>IF(C12="English","Vehicle paints, industrial protective paints, adhesives, inks, and cleaning agents must comply with China National Standard (GB Standard) below. ",IF(C12="中文","关于车辆涂料、工业防护涂料、胶粘合剂、油墨、清洗剂应符合以下中国国家标准(GB规格)","車両塗料、工業防護塗料、接着剤、インク、洗浄剤について下記 中国国家標準（GB規格）へ適合すること"))</f>
        <v xml:space="preserve">Vehicle paints, industrial protective paints, adhesives, inks, and cleaning agents must comply with China National Standard (GB Standard) below. </v>
      </c>
      <c r="R178" s="653"/>
      <c r="S178" s="653"/>
      <c r="T178" s="653"/>
      <c r="U178" s="653"/>
      <c r="V178" s="653"/>
      <c r="W178" s="653"/>
      <c r="X178" s="732"/>
      <c r="Y178" s="732"/>
      <c r="Z178" s="732"/>
      <c r="AA178" s="732"/>
      <c r="AB178" s="733"/>
      <c r="AC178" s="577"/>
      <c r="AD178" s="578"/>
      <c r="AE178" s="615"/>
    </row>
    <row r="179" spans="2:34" ht="45" customHeight="1">
      <c r="C179" s="614"/>
      <c r="D179" s="529"/>
      <c r="E179" s="730"/>
      <c r="F179" s="730"/>
      <c r="G179" s="730"/>
      <c r="H179" s="730"/>
      <c r="I179" s="730"/>
      <c r="J179" s="730"/>
      <c r="K179" s="730"/>
      <c r="L179" s="730"/>
      <c r="M179" s="730"/>
      <c r="N179" s="730"/>
      <c r="O179" s="730"/>
      <c r="P179" s="731"/>
      <c r="Q179" s="655" t="s">
        <v>57</v>
      </c>
      <c r="R179" s="296"/>
      <c r="S179" s="296"/>
      <c r="T179" s="296"/>
      <c r="U179" s="296"/>
      <c r="V179" s="296"/>
      <c r="W179" s="296"/>
      <c r="X179" s="296"/>
      <c r="Y179" s="296"/>
      <c r="Z179" s="296"/>
      <c r="AA179" s="296"/>
      <c r="AB179" s="297"/>
      <c r="AC179" s="616"/>
      <c r="AD179" s="617"/>
      <c r="AE179" s="618"/>
    </row>
    <row r="180" spans="2:34" ht="115.05" customHeight="1">
      <c r="C180" s="608"/>
      <c r="D180" s="532"/>
      <c r="E180" s="533"/>
      <c r="F180" s="533"/>
      <c r="G180" s="533"/>
      <c r="H180" s="533"/>
      <c r="I180" s="533"/>
      <c r="J180" s="533"/>
      <c r="K180" s="533"/>
      <c r="L180" s="533"/>
      <c r="M180" s="533"/>
      <c r="N180" s="533"/>
      <c r="O180" s="533"/>
      <c r="P180" s="637"/>
      <c r="Q180" s="718" t="str">
        <f>IF(C12="English","* Refer to GB standard for details
Objects are the above chemical product to the MinebeaMitsumi Group's Plants in China
＊Each product that is manufactured using the above chemicals and becomes dry and part of the parts is not object.
",IF(C12="中文","＊详见GB规格
向美蓓亚三枚集团中国工场交付上述化学品时为管理对象
＊使用上述化学品制造、处于干燥状态、成为零部件一部分的为管理对象外
","＊詳細はGB規格を参照
ミネベアミツミグループの中国工場に納入する上記化学品が対象
＊上記化学品を使用し製造され、乾燥状態となり、部品の一部となったものは対象外"))</f>
        <v xml:space="preserve">* Refer to GB standard for details
Objects are the above chemical product to the MinebeaMitsumi Group's Plants in China
＊Each product that is manufactured using the above chemicals and becomes dry and part of the parts is not object.
</v>
      </c>
      <c r="R180" s="719"/>
      <c r="S180" s="719"/>
      <c r="T180" s="719"/>
      <c r="U180" s="719"/>
      <c r="V180" s="719"/>
      <c r="W180" s="719"/>
      <c r="X180" s="719"/>
      <c r="Y180" s="719"/>
      <c r="Z180" s="719"/>
      <c r="AA180" s="719"/>
      <c r="AB180" s="720"/>
      <c r="AC180" s="620"/>
      <c r="AD180" s="621"/>
      <c r="AE180" s="622"/>
    </row>
    <row r="181" spans="2:34" ht="14.1" customHeight="1"/>
    <row r="182" spans="2:34" s="4" customFormat="1" ht="14.1" customHeight="1">
      <c r="B182" s="43"/>
      <c r="C182" s="44" t="str">
        <f>IF(C12="English","(*1) Specified amines compounds",IF(C12="中文","(*1) 特定胺化合物一览","(*1) 特定アミン化合物一覧"))</f>
        <v>(*1) Specified amines compounds</v>
      </c>
      <c r="D182" s="37"/>
      <c r="E182" s="38"/>
      <c r="F182" s="32"/>
      <c r="G182" s="32"/>
      <c r="AG182" s="13"/>
    </row>
    <row r="183" spans="2:34" s="4" customFormat="1" ht="14.1" customHeight="1">
      <c r="B183" s="43"/>
      <c r="C183" s="40" t="s">
        <v>42</v>
      </c>
      <c r="D183" s="721" t="str">
        <f>IF(C12="English","Chemical substances",IF(C12="中文","化学物质名","化学物質名"))</f>
        <v>Chemical substances</v>
      </c>
      <c r="E183" s="722"/>
      <c r="F183" s="722"/>
      <c r="G183" s="722"/>
      <c r="H183" s="722"/>
      <c r="I183" s="722"/>
      <c r="J183" s="722"/>
      <c r="K183" s="722"/>
      <c r="L183" s="722"/>
      <c r="M183" s="722"/>
      <c r="N183" s="722"/>
      <c r="O183" s="722"/>
      <c r="P183" s="723"/>
      <c r="Q183" s="721" t="s">
        <v>41</v>
      </c>
      <c r="R183" s="722"/>
      <c r="S183" s="722"/>
      <c r="T183" s="722"/>
      <c r="U183" s="723"/>
      <c r="AG183" s="13"/>
    </row>
    <row r="184" spans="2:34" s="4" customFormat="1" ht="14.1" customHeight="1">
      <c r="B184" s="43"/>
      <c r="C184" s="159">
        <v>1</v>
      </c>
      <c r="D184" s="724" t="str">
        <f>IF(C12="English","4-aminoazobenzene",IF(C12="中文","4-氨基偶氮苯","4-アミノアゾベンゼン"))</f>
        <v>4-aminoazobenzene</v>
      </c>
      <c r="E184" s="725"/>
      <c r="F184" s="725"/>
      <c r="G184" s="725"/>
      <c r="H184" s="725"/>
      <c r="I184" s="725"/>
      <c r="J184" s="725"/>
      <c r="K184" s="725"/>
      <c r="L184" s="725"/>
      <c r="M184" s="725"/>
      <c r="N184" s="725"/>
      <c r="O184" s="725"/>
      <c r="P184" s="726"/>
      <c r="Q184" s="727" t="s">
        <v>26</v>
      </c>
      <c r="R184" s="728"/>
      <c r="S184" s="728"/>
      <c r="T184" s="728"/>
      <c r="U184" s="729"/>
      <c r="AG184" s="13"/>
      <c r="AH184" s="153"/>
    </row>
    <row r="185" spans="2:34" s="4" customFormat="1" ht="14.1" customHeight="1">
      <c r="B185" s="43"/>
      <c r="C185" s="159">
        <v>2</v>
      </c>
      <c r="D185" s="724" t="str">
        <f>IF(C12="English","o-anisidines",IF(C12="中文","邻氨基苯甲醚","o-アニシジン"))</f>
        <v>o-anisidines</v>
      </c>
      <c r="E185" s="725"/>
      <c r="F185" s="725"/>
      <c r="G185" s="725"/>
      <c r="H185" s="725"/>
      <c r="I185" s="725"/>
      <c r="J185" s="725"/>
      <c r="K185" s="725"/>
      <c r="L185" s="725"/>
      <c r="M185" s="725"/>
      <c r="N185" s="725"/>
      <c r="O185" s="725"/>
      <c r="P185" s="726"/>
      <c r="Q185" s="721" t="s">
        <v>1</v>
      </c>
      <c r="R185" s="722"/>
      <c r="S185" s="722"/>
      <c r="T185" s="722"/>
      <c r="U185" s="723"/>
      <c r="AG185" s="13"/>
    </row>
    <row r="186" spans="2:34" s="4" customFormat="1" ht="14.1" customHeight="1">
      <c r="B186" s="43"/>
      <c r="C186" s="159">
        <v>3</v>
      </c>
      <c r="D186" s="724" t="str">
        <f>IF(C12="English","2-naphthylamine",IF(C12="中文","2-萘胺","2-ナフチルアミン"))</f>
        <v>2-naphthylamine</v>
      </c>
      <c r="E186" s="725"/>
      <c r="F186" s="725"/>
      <c r="G186" s="725"/>
      <c r="H186" s="725"/>
      <c r="I186" s="725"/>
      <c r="J186" s="725"/>
      <c r="K186" s="725"/>
      <c r="L186" s="725"/>
      <c r="M186" s="725"/>
      <c r="N186" s="725"/>
      <c r="O186" s="725"/>
      <c r="P186" s="726"/>
      <c r="Q186" s="721" t="s">
        <v>2</v>
      </c>
      <c r="R186" s="722"/>
      <c r="S186" s="722"/>
      <c r="T186" s="722"/>
      <c r="U186" s="723"/>
      <c r="AG186" s="13"/>
    </row>
    <row r="187" spans="2:34" s="4" customFormat="1" ht="14.1" customHeight="1">
      <c r="B187" s="43"/>
      <c r="C187" s="159">
        <v>4</v>
      </c>
      <c r="D187" s="724" t="str">
        <f>IF(C12="English","3,3'-dichlorobenzidine",IF(C12="中文","3,3'-二氯联苯胺","3, 3-ジクロロベンジジン"))</f>
        <v>3,3'-dichlorobenzidine</v>
      </c>
      <c r="E187" s="725"/>
      <c r="F187" s="725"/>
      <c r="G187" s="725"/>
      <c r="H187" s="725"/>
      <c r="I187" s="725"/>
      <c r="J187" s="725"/>
      <c r="K187" s="725"/>
      <c r="L187" s="725"/>
      <c r="M187" s="725"/>
      <c r="N187" s="725"/>
      <c r="O187" s="725"/>
      <c r="P187" s="726"/>
      <c r="Q187" s="721" t="s">
        <v>3</v>
      </c>
      <c r="R187" s="722"/>
      <c r="S187" s="722"/>
      <c r="T187" s="722"/>
      <c r="U187" s="723"/>
      <c r="AG187" s="13"/>
    </row>
    <row r="188" spans="2:34" s="4" customFormat="1" ht="14.1" customHeight="1">
      <c r="B188" s="43"/>
      <c r="C188" s="159">
        <v>5</v>
      </c>
      <c r="D188" s="724" t="str">
        <f>IF(C12="English","4-aminodiphenyl",IF(C12="中文","4-氨基二苯基","4-アミノジフェニル"))</f>
        <v>4-aminodiphenyl</v>
      </c>
      <c r="E188" s="725"/>
      <c r="F188" s="725"/>
      <c r="G188" s="725"/>
      <c r="H188" s="725"/>
      <c r="I188" s="725"/>
      <c r="J188" s="725"/>
      <c r="K188" s="725"/>
      <c r="L188" s="725"/>
      <c r="M188" s="725"/>
      <c r="N188" s="725"/>
      <c r="O188" s="725"/>
      <c r="P188" s="726"/>
      <c r="Q188" s="721" t="s">
        <v>4</v>
      </c>
      <c r="R188" s="722"/>
      <c r="S188" s="722"/>
      <c r="T188" s="722"/>
      <c r="U188" s="723"/>
      <c r="AG188" s="13"/>
    </row>
    <row r="189" spans="2:34" s="4" customFormat="1" ht="14.1" customHeight="1">
      <c r="B189" s="43"/>
      <c r="C189" s="159">
        <v>6</v>
      </c>
      <c r="D189" s="724" t="str">
        <f>IF(C12="English","Benzidine",IF(C12="中文","联苯胺","ベンジジン"))</f>
        <v>Benzidine</v>
      </c>
      <c r="E189" s="725"/>
      <c r="F189" s="725"/>
      <c r="G189" s="725"/>
      <c r="H189" s="725"/>
      <c r="I189" s="725"/>
      <c r="J189" s="725"/>
      <c r="K189" s="725"/>
      <c r="L189" s="725"/>
      <c r="M189" s="725"/>
      <c r="N189" s="725"/>
      <c r="O189" s="725"/>
      <c r="P189" s="726"/>
      <c r="Q189" s="721" t="s">
        <v>5</v>
      </c>
      <c r="R189" s="722"/>
      <c r="S189" s="722"/>
      <c r="T189" s="722"/>
      <c r="U189" s="723"/>
      <c r="AG189" s="13"/>
    </row>
    <row r="190" spans="2:34" s="4" customFormat="1" ht="14.1" customHeight="1">
      <c r="B190" s="43"/>
      <c r="C190" s="159">
        <v>7</v>
      </c>
      <c r="D190" s="724" t="str">
        <f>IF(C12="English","o-toluidine",IF(C12="中文","邻甲苯胺","o-トルイジン"))</f>
        <v>o-toluidine</v>
      </c>
      <c r="E190" s="725"/>
      <c r="F190" s="725"/>
      <c r="G190" s="725"/>
      <c r="H190" s="725"/>
      <c r="I190" s="725"/>
      <c r="J190" s="725"/>
      <c r="K190" s="725"/>
      <c r="L190" s="725"/>
      <c r="M190" s="725"/>
      <c r="N190" s="725"/>
      <c r="O190" s="725"/>
      <c r="P190" s="726"/>
      <c r="Q190" s="721" t="s">
        <v>6</v>
      </c>
      <c r="R190" s="722"/>
      <c r="S190" s="722"/>
      <c r="T190" s="722"/>
      <c r="U190" s="723"/>
      <c r="AG190" s="13"/>
    </row>
    <row r="191" spans="2:34" s="4" customFormat="1" ht="14.1" customHeight="1">
      <c r="B191" s="43"/>
      <c r="C191" s="159">
        <v>8</v>
      </c>
      <c r="D191" s="724" t="str">
        <f>IF(C12="English","4-chloro-o-toluidine",IF(C12="中文","4-氯-邻-甲苯胺","4-クロロ-o-トルイジン"))</f>
        <v>4-chloro-o-toluidine</v>
      </c>
      <c r="E191" s="725"/>
      <c r="F191" s="725"/>
      <c r="G191" s="725"/>
      <c r="H191" s="725"/>
      <c r="I191" s="725"/>
      <c r="J191" s="725"/>
      <c r="K191" s="725"/>
      <c r="L191" s="725"/>
      <c r="M191" s="725"/>
      <c r="N191" s="725"/>
      <c r="O191" s="725"/>
      <c r="P191" s="726"/>
      <c r="Q191" s="721" t="s">
        <v>7</v>
      </c>
      <c r="R191" s="722"/>
      <c r="S191" s="722"/>
      <c r="T191" s="722"/>
      <c r="U191" s="723"/>
      <c r="AG191" s="13"/>
    </row>
    <row r="192" spans="2:34" s="4" customFormat="1" ht="14.1" customHeight="1">
      <c r="B192" s="43"/>
      <c r="C192" s="159">
        <v>9</v>
      </c>
      <c r="D192" s="724" t="str">
        <f>IF(C12="English","2,4-toluenediamine",IF(C12="中文","2,4-甲苯二胺","2, 4-トルエンジアミン"))</f>
        <v>2,4-toluenediamine</v>
      </c>
      <c r="E192" s="725"/>
      <c r="F192" s="725"/>
      <c r="G192" s="725"/>
      <c r="H192" s="725"/>
      <c r="I192" s="725"/>
      <c r="J192" s="725"/>
      <c r="K192" s="725"/>
      <c r="L192" s="725"/>
      <c r="M192" s="725"/>
      <c r="N192" s="725"/>
      <c r="O192" s="725"/>
      <c r="P192" s="726"/>
      <c r="Q192" s="721" t="s">
        <v>8</v>
      </c>
      <c r="R192" s="722"/>
      <c r="S192" s="722"/>
      <c r="T192" s="722"/>
      <c r="U192" s="723"/>
      <c r="AG192" s="13"/>
    </row>
    <row r="193" spans="2:33" s="4" customFormat="1" ht="14.1" customHeight="1">
      <c r="B193" s="43"/>
      <c r="C193" s="159">
        <v>10</v>
      </c>
      <c r="D193" s="724" t="str">
        <f>IF(C12="English","o-aminoazotoluene",IF(C12="中文","邻氨基偶氮甲苯","o-アミノアゾトルエン"))</f>
        <v>o-aminoazotoluene</v>
      </c>
      <c r="E193" s="725"/>
      <c r="F193" s="725"/>
      <c r="G193" s="725"/>
      <c r="H193" s="725"/>
      <c r="I193" s="725"/>
      <c r="J193" s="725"/>
      <c r="K193" s="725"/>
      <c r="L193" s="725"/>
      <c r="M193" s="725"/>
      <c r="N193" s="725"/>
      <c r="O193" s="725"/>
      <c r="P193" s="726"/>
      <c r="Q193" s="721" t="s">
        <v>9</v>
      </c>
      <c r="R193" s="722"/>
      <c r="S193" s="722"/>
      <c r="T193" s="722"/>
      <c r="U193" s="723"/>
      <c r="AG193" s="13"/>
    </row>
    <row r="194" spans="2:33" s="4" customFormat="1" ht="14.1" customHeight="1">
      <c r="B194" s="43"/>
      <c r="C194" s="159">
        <v>11</v>
      </c>
      <c r="D194" s="724" t="str">
        <f>IF(C12="English","5-nitro-o-toluidine",IF(C12="中文","5-硝基邻甲苯胺","5-ニトロ-o-トルイジン"))</f>
        <v>5-nitro-o-toluidine</v>
      </c>
      <c r="E194" s="725"/>
      <c r="F194" s="725"/>
      <c r="G194" s="725"/>
      <c r="H194" s="725"/>
      <c r="I194" s="725"/>
      <c r="J194" s="725"/>
      <c r="K194" s="725"/>
      <c r="L194" s="725"/>
      <c r="M194" s="725"/>
      <c r="N194" s="725"/>
      <c r="O194" s="725"/>
      <c r="P194" s="726"/>
      <c r="Q194" s="721" t="s">
        <v>10</v>
      </c>
      <c r="R194" s="722"/>
      <c r="S194" s="722"/>
      <c r="T194" s="722"/>
      <c r="U194" s="723"/>
      <c r="AG194" s="13"/>
    </row>
    <row r="195" spans="2:33" s="4" customFormat="1" ht="14.1" customHeight="1">
      <c r="B195" s="43"/>
      <c r="C195" s="159">
        <v>12</v>
      </c>
      <c r="D195" s="724" t="str">
        <f>IF(C12="English","4,4-methylene-bis-(2-chloroaniline)",IF(C12="中文","4,4'-亚甲基双（2-氯苯胺）","4, 4’-メチレン-ビス-（2-クロロアニリン）"))</f>
        <v>4,4-methylene-bis-(2-chloroaniline)</v>
      </c>
      <c r="E195" s="725"/>
      <c r="F195" s="725"/>
      <c r="G195" s="725"/>
      <c r="H195" s="725"/>
      <c r="I195" s="725"/>
      <c r="J195" s="725"/>
      <c r="K195" s="725"/>
      <c r="L195" s="725"/>
      <c r="M195" s="725"/>
      <c r="N195" s="725"/>
      <c r="O195" s="725"/>
      <c r="P195" s="726"/>
      <c r="Q195" s="721" t="s">
        <v>11</v>
      </c>
      <c r="R195" s="722"/>
      <c r="S195" s="722"/>
      <c r="T195" s="722"/>
      <c r="U195" s="723"/>
      <c r="AG195" s="13"/>
    </row>
    <row r="196" spans="2:33" s="4" customFormat="1" ht="14.1" customHeight="1">
      <c r="B196" s="43"/>
      <c r="C196" s="159">
        <v>13</v>
      </c>
      <c r="D196" s="724" t="str">
        <f>IF(C12="English","4,4-diaminodiphenylmethane",IF(C12="中文","4,4'-二氨基二苯基甲烷","4, 4’-ジアミノジフェニルメタン"))</f>
        <v>4,4-diaminodiphenylmethane</v>
      </c>
      <c r="E196" s="725"/>
      <c r="F196" s="725"/>
      <c r="G196" s="725"/>
      <c r="H196" s="725"/>
      <c r="I196" s="725"/>
      <c r="J196" s="725"/>
      <c r="K196" s="725"/>
      <c r="L196" s="725"/>
      <c r="M196" s="725"/>
      <c r="N196" s="725"/>
      <c r="O196" s="725"/>
      <c r="P196" s="726"/>
      <c r="Q196" s="721" t="s">
        <v>12</v>
      </c>
      <c r="R196" s="722"/>
      <c r="S196" s="722"/>
      <c r="T196" s="722"/>
      <c r="U196" s="723"/>
      <c r="AG196" s="13"/>
    </row>
    <row r="197" spans="2:33" s="4" customFormat="1" ht="14.1" customHeight="1">
      <c r="B197" s="43"/>
      <c r="C197" s="159">
        <v>14</v>
      </c>
      <c r="D197" s="724" t="str">
        <f>IF(C12="English","4,4-oxydianiline",IF(C12="中文","4,4'-氧基二苯胺及其盐","4, 4’-オキシジアニリン"))</f>
        <v>4,4-oxydianiline</v>
      </c>
      <c r="E197" s="725"/>
      <c r="F197" s="725"/>
      <c r="G197" s="725"/>
      <c r="H197" s="725"/>
      <c r="I197" s="725"/>
      <c r="J197" s="725"/>
      <c r="K197" s="725"/>
      <c r="L197" s="725"/>
      <c r="M197" s="725"/>
      <c r="N197" s="725"/>
      <c r="O197" s="725"/>
      <c r="P197" s="726"/>
      <c r="Q197" s="721" t="s">
        <v>13</v>
      </c>
      <c r="R197" s="722"/>
      <c r="S197" s="722"/>
      <c r="T197" s="722"/>
      <c r="U197" s="723"/>
      <c r="AG197" s="13"/>
    </row>
    <row r="198" spans="2:33" s="4" customFormat="1" ht="14.1" customHeight="1">
      <c r="B198" s="43"/>
      <c r="C198" s="159">
        <v>15</v>
      </c>
      <c r="D198" s="724" t="str">
        <f>IF(C12="English","p-chloroaniline",IF(C12="中文","P-氯苯胺","p-クロロアニリン"))</f>
        <v>p-chloroaniline</v>
      </c>
      <c r="E198" s="725"/>
      <c r="F198" s="725"/>
      <c r="G198" s="725"/>
      <c r="H198" s="725"/>
      <c r="I198" s="725"/>
      <c r="J198" s="725"/>
      <c r="K198" s="725"/>
      <c r="L198" s="725"/>
      <c r="M198" s="725"/>
      <c r="N198" s="725"/>
      <c r="O198" s="725"/>
      <c r="P198" s="726"/>
      <c r="Q198" s="721" t="s">
        <v>14</v>
      </c>
      <c r="R198" s="722"/>
      <c r="S198" s="722"/>
      <c r="T198" s="722"/>
      <c r="U198" s="723"/>
      <c r="AG198" s="13"/>
    </row>
    <row r="199" spans="2:33" s="4" customFormat="1" ht="14.1" customHeight="1">
      <c r="C199" s="159">
        <v>16</v>
      </c>
      <c r="D199" s="724" t="str">
        <f>IF(C12="English","3,3-dimethoxybenzidine",IF(C12="中文","3,3'-二甲氧基联苯胺","3, 3’-ジメトキシベンジジン"))</f>
        <v>3,3-dimethoxybenzidine</v>
      </c>
      <c r="E199" s="725"/>
      <c r="F199" s="725"/>
      <c r="G199" s="725"/>
      <c r="H199" s="725"/>
      <c r="I199" s="725"/>
      <c r="J199" s="725"/>
      <c r="K199" s="725"/>
      <c r="L199" s="725"/>
      <c r="M199" s="725"/>
      <c r="N199" s="725"/>
      <c r="O199" s="725"/>
      <c r="P199" s="726"/>
      <c r="Q199" s="721" t="s">
        <v>15</v>
      </c>
      <c r="R199" s="722"/>
      <c r="S199" s="722"/>
      <c r="T199" s="722"/>
      <c r="U199" s="723"/>
      <c r="AG199" s="13"/>
    </row>
    <row r="200" spans="2:33" s="4" customFormat="1" ht="14.1" customHeight="1">
      <c r="C200" s="159">
        <v>17</v>
      </c>
      <c r="D200" s="724" t="str">
        <f>IF(C12="English","3,3-dimethylbenzidine",IF(C12="中文","3,3'-二甲基联苯胺","3, 3’-ジメチルベンジジン"))</f>
        <v>3,3-dimethylbenzidine</v>
      </c>
      <c r="E200" s="725"/>
      <c r="F200" s="725"/>
      <c r="G200" s="725"/>
      <c r="H200" s="725"/>
      <c r="I200" s="725"/>
      <c r="J200" s="725"/>
      <c r="K200" s="725"/>
      <c r="L200" s="725"/>
      <c r="M200" s="725"/>
      <c r="N200" s="725"/>
      <c r="O200" s="725"/>
      <c r="P200" s="726"/>
      <c r="Q200" s="721" t="s">
        <v>16</v>
      </c>
      <c r="R200" s="722"/>
      <c r="S200" s="722"/>
      <c r="T200" s="722"/>
      <c r="U200" s="723"/>
      <c r="AG200" s="13"/>
    </row>
    <row r="201" spans="2:33" s="4" customFormat="1" ht="14.1" customHeight="1">
      <c r="C201" s="159">
        <v>18</v>
      </c>
      <c r="D201" s="724" t="str">
        <f>IF(C12="English","p-cresidine",IF(C12="中文","邻氨基对甲苯甲醚","p-クレシジン"))</f>
        <v>p-cresidine</v>
      </c>
      <c r="E201" s="725"/>
      <c r="F201" s="725"/>
      <c r="G201" s="725"/>
      <c r="H201" s="725"/>
      <c r="I201" s="725"/>
      <c r="J201" s="725"/>
      <c r="K201" s="725"/>
      <c r="L201" s="725"/>
      <c r="M201" s="725"/>
      <c r="N201" s="725"/>
      <c r="O201" s="725"/>
      <c r="P201" s="726"/>
      <c r="Q201" s="721" t="s">
        <v>17</v>
      </c>
      <c r="R201" s="722"/>
      <c r="S201" s="722"/>
      <c r="T201" s="722"/>
      <c r="U201" s="723"/>
      <c r="AG201" s="13"/>
    </row>
    <row r="202" spans="2:33" s="4" customFormat="1" ht="14.1" customHeight="1">
      <c r="C202" s="159">
        <v>19</v>
      </c>
      <c r="D202" s="724" t="str">
        <f>IF(C12="English","2,4,5-trimethylaniline",IF(C12="中文","2,4,5-三甲基苯胺","2, 4, 5-トリメチルアニリン"))</f>
        <v>2,4,5-trimethylaniline</v>
      </c>
      <c r="E202" s="725"/>
      <c r="F202" s="725"/>
      <c r="G202" s="725"/>
      <c r="H202" s="725"/>
      <c r="I202" s="725"/>
      <c r="J202" s="725"/>
      <c r="K202" s="725"/>
      <c r="L202" s="725"/>
      <c r="M202" s="725"/>
      <c r="N202" s="725"/>
      <c r="O202" s="725"/>
      <c r="P202" s="726"/>
      <c r="Q202" s="721" t="s">
        <v>18</v>
      </c>
      <c r="R202" s="722"/>
      <c r="S202" s="722"/>
      <c r="T202" s="722"/>
      <c r="U202" s="723"/>
      <c r="AG202" s="13"/>
    </row>
    <row r="203" spans="2:33" s="4" customFormat="1" ht="14.1" customHeight="1">
      <c r="C203" s="159">
        <v>20</v>
      </c>
      <c r="D203" s="724" t="str">
        <f>IF(C12="English","4,4-thiodianiline",IF(C12="中文","4,4'-硫代二苯胺","4, 4’-チオジアニリン"))</f>
        <v>4,4-thiodianiline</v>
      </c>
      <c r="E203" s="725"/>
      <c r="F203" s="725"/>
      <c r="G203" s="725"/>
      <c r="H203" s="725"/>
      <c r="I203" s="725"/>
      <c r="J203" s="725"/>
      <c r="K203" s="725"/>
      <c r="L203" s="725"/>
      <c r="M203" s="725"/>
      <c r="N203" s="725"/>
      <c r="O203" s="725"/>
      <c r="P203" s="726"/>
      <c r="Q203" s="721" t="s">
        <v>19</v>
      </c>
      <c r="R203" s="722"/>
      <c r="S203" s="722"/>
      <c r="T203" s="722"/>
      <c r="U203" s="723"/>
      <c r="AG203" s="13"/>
    </row>
    <row r="204" spans="2:33" s="4" customFormat="1" ht="14.1" customHeight="1">
      <c r="C204" s="159">
        <v>21</v>
      </c>
      <c r="D204" s="724" t="str">
        <f>IF(C12="English","2,4-diaminoanisole",IF(C12="中文","2,4-二氨基茴香醚","2, 4’-ジアミノアニソール"))</f>
        <v>2,4-diaminoanisole</v>
      </c>
      <c r="E204" s="725"/>
      <c r="F204" s="725"/>
      <c r="G204" s="725"/>
      <c r="H204" s="725"/>
      <c r="I204" s="725"/>
      <c r="J204" s="725"/>
      <c r="K204" s="725"/>
      <c r="L204" s="725"/>
      <c r="M204" s="725"/>
      <c r="N204" s="725"/>
      <c r="O204" s="725"/>
      <c r="P204" s="726"/>
      <c r="Q204" s="721" t="s">
        <v>20</v>
      </c>
      <c r="R204" s="722"/>
      <c r="S204" s="722"/>
      <c r="T204" s="722"/>
      <c r="U204" s="723"/>
      <c r="AG204" s="13"/>
    </row>
    <row r="205" spans="2:33" s="4" customFormat="1" ht="14.1" customHeight="1">
      <c r="C205" s="159">
        <v>22</v>
      </c>
      <c r="D205" s="724" t="str">
        <f>IF(C12="English","3,3-dimethyl-4,4-diaminodiphenylmethane",IF(C12="中文","3,3'-二甲基-4,4'-二氨基二苯基甲烷","3, 3’-ジメチル-4, 4’-ジアミノジフェニルメタン"))</f>
        <v>3,3-dimethyl-4,4-diaminodiphenylmethane</v>
      </c>
      <c r="E205" s="725"/>
      <c r="F205" s="725"/>
      <c r="G205" s="725"/>
      <c r="H205" s="725"/>
      <c r="I205" s="725"/>
      <c r="J205" s="725"/>
      <c r="K205" s="725"/>
      <c r="L205" s="725"/>
      <c r="M205" s="725"/>
      <c r="N205" s="725"/>
      <c r="O205" s="725"/>
      <c r="P205" s="726"/>
      <c r="Q205" s="721" t="s">
        <v>21</v>
      </c>
      <c r="R205" s="722"/>
      <c r="S205" s="722"/>
      <c r="T205" s="722"/>
      <c r="U205" s="723"/>
      <c r="AG205" s="13"/>
    </row>
    <row r="206" spans="2:33" s="4" customFormat="1" ht="14.1" customHeight="1">
      <c r="C206" s="45"/>
      <c r="D206" s="46"/>
      <c r="Q206" s="45"/>
      <c r="R206" s="13"/>
      <c r="S206" s="13"/>
      <c r="T206" s="13"/>
      <c r="U206" s="13"/>
      <c r="AG206" s="13"/>
    </row>
    <row r="207" spans="2:33" s="4" customFormat="1" ht="14.1" customHeight="1">
      <c r="C207" s="44" t="str">
        <f>IF(C12="English","(*2) PFOA-related substances",IF(C12="中文","(*2）PFOA相关物质","(*2）PFOA関連物質"))</f>
        <v>(*2) PFOA-related substances</v>
      </c>
      <c r="D207" s="46"/>
      <c r="Q207" s="45"/>
      <c r="R207" s="13"/>
      <c r="S207" s="13"/>
      <c r="T207" s="13"/>
      <c r="U207" s="13"/>
      <c r="AG207" s="13"/>
    </row>
    <row r="208" spans="2:33" s="4" customFormat="1" ht="45" customHeight="1">
      <c r="C208" s="39"/>
      <c r="D208" s="738" t="str">
        <f>IF(C12="English","All related substances including salts and polymers with linear or branched perfluoroheptyl (C7F15-)or perfluorooctyl (C8F17-) groups directly bonded to another carbon molecule.",IF(C12="中文","包含一个直链或支链氟代庚基基团，化学式为C7F15-，直接连接在另一个碳原子上，作为一个结构要素的相关物质（包括其盐类和聚合物）。包含一个直链或支链氟代辛基基团，化学式为C8F17-，作为一个结构要素的相关物质（包括其盐类和聚合物）。","別の炭素分子と直接結合する直鎖または分枝のパーフルオロヘプチル基(C7F15-)またはパーフルオロオクチル基(C8F17-)をもつ塩と重合体を含むすべての関連物質"))</f>
        <v>All related substances including salts and polymers with linear or branched perfluoroheptyl (C7F15-)or perfluorooctyl (C8F17-) groups directly bonded to another carbon molecule.</v>
      </c>
      <c r="E208" s="294"/>
      <c r="F208" s="294"/>
      <c r="G208" s="294"/>
      <c r="H208" s="294"/>
      <c r="I208" s="294"/>
      <c r="J208" s="294"/>
      <c r="K208" s="294"/>
      <c r="L208" s="294"/>
      <c r="M208" s="294"/>
      <c r="N208" s="294"/>
      <c r="O208" s="294"/>
      <c r="P208" s="294"/>
      <c r="Q208" s="294"/>
      <c r="R208" s="294"/>
      <c r="S208" s="294"/>
      <c r="T208" s="294"/>
      <c r="U208" s="294"/>
      <c r="V208" s="294"/>
      <c r="W208" s="294"/>
      <c r="X208" s="294"/>
      <c r="Y208" s="294"/>
      <c r="Z208" s="294"/>
      <c r="AA208" s="294"/>
      <c r="AB208" s="294"/>
      <c r="AC208" s="294"/>
      <c r="AD208" s="294"/>
      <c r="AE208" s="294"/>
      <c r="AG208" s="13"/>
    </row>
    <row r="209" spans="3:38" s="4" customFormat="1" ht="14.1" customHeight="1">
      <c r="C209" s="44" t="str">
        <f>IF(C12="English","(*3) halogenated diphenylmethane",IF(C12="中文","(*3) 卤代二苯甲烷","(*3) ハロゲン化ジフェニルメタン"))</f>
        <v>(*3) halogenated diphenylmethane</v>
      </c>
      <c r="D209" s="46"/>
      <c r="Q209" s="45"/>
      <c r="R209" s="13"/>
      <c r="S209" s="13"/>
      <c r="T209" s="13"/>
      <c r="U209" s="13"/>
      <c r="AG209" s="13"/>
    </row>
    <row r="210" spans="3:38" s="4" customFormat="1" ht="14.1" customHeight="1">
      <c r="C210" s="40" t="s">
        <v>42</v>
      </c>
      <c r="D210" s="721" t="str">
        <f>IF(C12="English","Chemical substances",IF(C12="中文","化学物质名","化学物質名"))</f>
        <v>Chemical substances</v>
      </c>
      <c r="E210" s="739"/>
      <c r="F210" s="739"/>
      <c r="G210" s="739"/>
      <c r="H210" s="739"/>
      <c r="I210" s="739"/>
      <c r="J210" s="739"/>
      <c r="K210" s="739"/>
      <c r="L210" s="739"/>
      <c r="M210" s="739"/>
      <c r="N210" s="739"/>
      <c r="O210" s="739"/>
      <c r="P210" s="739"/>
      <c r="Q210" s="739"/>
      <c r="R210" s="739"/>
      <c r="S210" s="739"/>
      <c r="T210" s="739"/>
      <c r="U210" s="740"/>
      <c r="V210" s="735" t="s">
        <v>41</v>
      </c>
      <c r="W210" s="736"/>
      <c r="X210" s="736"/>
      <c r="Y210" s="736"/>
      <c r="Z210" s="737"/>
      <c r="AL210" s="13"/>
    </row>
    <row r="211" spans="3:38" s="4" customFormat="1" ht="14.1" customHeight="1">
      <c r="C211" s="40">
        <v>1</v>
      </c>
      <c r="D211" s="734" t="str">
        <f>IF(C12="English","Monomethyl-tetrachloro-diphenyl methane (Ugilec 141)",IF(C12="中文","四氯二苯甲烷单甲基酯 (Ugilec 141)","モノメチルテトラクロロジフェニルメタン (Ugilec 141)"))</f>
        <v>Monomethyl-tetrachloro-diphenyl methane (Ugilec 141)</v>
      </c>
      <c r="E211" s="639"/>
      <c r="F211" s="639"/>
      <c r="G211" s="639"/>
      <c r="H211" s="639"/>
      <c r="I211" s="639"/>
      <c r="J211" s="639"/>
      <c r="K211" s="639"/>
      <c r="L211" s="639"/>
      <c r="M211" s="639"/>
      <c r="N211" s="639"/>
      <c r="O211" s="639"/>
      <c r="P211" s="639"/>
      <c r="Q211" s="639"/>
      <c r="R211" s="639"/>
      <c r="S211" s="639"/>
      <c r="T211" s="639"/>
      <c r="U211" s="640"/>
      <c r="V211" s="735" t="s">
        <v>40</v>
      </c>
      <c r="W211" s="736"/>
      <c r="X211" s="736"/>
      <c r="Y211" s="736"/>
      <c r="Z211" s="737"/>
      <c r="AL211" s="13"/>
    </row>
    <row r="212" spans="3:38" s="4" customFormat="1" ht="14.1" customHeight="1">
      <c r="C212" s="40">
        <v>2</v>
      </c>
      <c r="D212" s="734" t="str">
        <f>IF(C12="English","Monomethyl-dichloro-diphenyl methane (Ugilec 121, Ugilec 21)",IF(C12="中文","单二氯二苯基甲烷 (Ugilec 121, Ugilec 21)","モノメチルジクロロジフェニルメタン 
(Ugilec 121, Ugilec 21)
"))</f>
        <v>Monomethyl-dichloro-diphenyl methane (Ugilec 121, Ugilec 21)</v>
      </c>
      <c r="E212" s="639"/>
      <c r="F212" s="639"/>
      <c r="G212" s="639"/>
      <c r="H212" s="639"/>
      <c r="I212" s="639"/>
      <c r="J212" s="639"/>
      <c r="K212" s="639"/>
      <c r="L212" s="639"/>
      <c r="M212" s="639"/>
      <c r="N212" s="639"/>
      <c r="O212" s="639"/>
      <c r="P212" s="639"/>
      <c r="Q212" s="639"/>
      <c r="R212" s="639"/>
      <c r="S212" s="639"/>
      <c r="T212" s="639"/>
      <c r="U212" s="640"/>
      <c r="V212" s="735" t="s">
        <v>22</v>
      </c>
      <c r="W212" s="736"/>
      <c r="X212" s="736"/>
      <c r="Y212" s="736"/>
      <c r="Z212" s="737"/>
      <c r="AL212" s="13"/>
    </row>
    <row r="213" spans="3:38" s="4" customFormat="1" ht="14.1" customHeight="1">
      <c r="C213" s="40">
        <v>3</v>
      </c>
      <c r="D213" s="734" t="str">
        <f>IF(C12="English","Monomethyl-dibromo-diphenyl methane (DBBT)",IF(C12="中文","单甲基二溴二苯基甲烷 (DBBT)","モノメチルジブロモジフェニルメタン (DBBT)"))</f>
        <v>Monomethyl-dibromo-diphenyl methane (DBBT)</v>
      </c>
      <c r="E213" s="639"/>
      <c r="F213" s="639"/>
      <c r="G213" s="639"/>
      <c r="H213" s="639"/>
      <c r="I213" s="639"/>
      <c r="J213" s="639"/>
      <c r="K213" s="639"/>
      <c r="L213" s="639"/>
      <c r="M213" s="639"/>
      <c r="N213" s="639"/>
      <c r="O213" s="639"/>
      <c r="P213" s="639"/>
      <c r="Q213" s="639"/>
      <c r="R213" s="639"/>
      <c r="S213" s="639"/>
      <c r="T213" s="639"/>
      <c r="U213" s="640"/>
      <c r="V213" s="735" t="s">
        <v>23</v>
      </c>
      <c r="W213" s="736"/>
      <c r="X213" s="736"/>
      <c r="Y213" s="736"/>
      <c r="Z213" s="737"/>
      <c r="AL213" s="13"/>
    </row>
  </sheetData>
  <mergeCells count="438">
    <mergeCell ref="D211:U211"/>
    <mergeCell ref="V211:Z211"/>
    <mergeCell ref="D212:U212"/>
    <mergeCell ref="V212:Z212"/>
    <mergeCell ref="D213:U213"/>
    <mergeCell ref="V213:Z213"/>
    <mergeCell ref="D204:P204"/>
    <mergeCell ref="Q204:U204"/>
    <mergeCell ref="D205:P205"/>
    <mergeCell ref="Q205:U205"/>
    <mergeCell ref="D208:AE208"/>
    <mergeCell ref="D210:U210"/>
    <mergeCell ref="V210:Z210"/>
    <mergeCell ref="D201:P201"/>
    <mergeCell ref="Q201:U201"/>
    <mergeCell ref="D202:P202"/>
    <mergeCell ref="Q202:U202"/>
    <mergeCell ref="D203:P203"/>
    <mergeCell ref="Q203:U203"/>
    <mergeCell ref="D198:P198"/>
    <mergeCell ref="Q198:U198"/>
    <mergeCell ref="D199:P199"/>
    <mergeCell ref="Q199:U199"/>
    <mergeCell ref="D200:P200"/>
    <mergeCell ref="Q200:U200"/>
    <mergeCell ref="D195:P195"/>
    <mergeCell ref="Q195:U195"/>
    <mergeCell ref="D196:P196"/>
    <mergeCell ref="Q196:U196"/>
    <mergeCell ref="D197:P197"/>
    <mergeCell ref="Q197:U197"/>
    <mergeCell ref="D192:P192"/>
    <mergeCell ref="Q192:U192"/>
    <mergeCell ref="D193:P193"/>
    <mergeCell ref="Q193:U193"/>
    <mergeCell ref="D194:P194"/>
    <mergeCell ref="Q194:U194"/>
    <mergeCell ref="D189:P189"/>
    <mergeCell ref="Q189:U189"/>
    <mergeCell ref="D190:P190"/>
    <mergeCell ref="Q190:U190"/>
    <mergeCell ref="D191:P191"/>
    <mergeCell ref="Q191:U191"/>
    <mergeCell ref="D186:P186"/>
    <mergeCell ref="Q186:U186"/>
    <mergeCell ref="D187:P187"/>
    <mergeCell ref="Q187:U187"/>
    <mergeCell ref="D188:P188"/>
    <mergeCell ref="Q188:U188"/>
    <mergeCell ref="D183:P183"/>
    <mergeCell ref="Q183:U183"/>
    <mergeCell ref="D184:P184"/>
    <mergeCell ref="Q184:U184"/>
    <mergeCell ref="D185:P185"/>
    <mergeCell ref="Q185:U185"/>
    <mergeCell ref="C178:C180"/>
    <mergeCell ref="D178:P180"/>
    <mergeCell ref="Q178:AB178"/>
    <mergeCell ref="AC178:AE180"/>
    <mergeCell ref="Q179:AB179"/>
    <mergeCell ref="Q180:AB180"/>
    <mergeCell ref="D176:P176"/>
    <mergeCell ref="Q176:W176"/>
    <mergeCell ref="X176:AB176"/>
    <mergeCell ref="AC176:AE176"/>
    <mergeCell ref="D177:P177"/>
    <mergeCell ref="Q177:W177"/>
    <mergeCell ref="X177:AB177"/>
    <mergeCell ref="AC177:AE177"/>
    <mergeCell ref="D169:P169"/>
    <mergeCell ref="Q169:W169"/>
    <mergeCell ref="X169:AB169"/>
    <mergeCell ref="AC169:AE169"/>
    <mergeCell ref="D175:P175"/>
    <mergeCell ref="Q175:W175"/>
    <mergeCell ref="X175:AB175"/>
    <mergeCell ref="AC175:AE175"/>
    <mergeCell ref="D167:P167"/>
    <mergeCell ref="Q167:W167"/>
    <mergeCell ref="X167:AB167"/>
    <mergeCell ref="AC167:AE167"/>
    <mergeCell ref="D168:P168"/>
    <mergeCell ref="Q168:W168"/>
    <mergeCell ref="X168:AB168"/>
    <mergeCell ref="AC168:AE168"/>
    <mergeCell ref="D165:P165"/>
    <mergeCell ref="Q165:W165"/>
    <mergeCell ref="X165:AB165"/>
    <mergeCell ref="AC165:AE165"/>
    <mergeCell ref="D166:P166"/>
    <mergeCell ref="Q166:W166"/>
    <mergeCell ref="X166:AB166"/>
    <mergeCell ref="AC166:AE166"/>
    <mergeCell ref="D163:P163"/>
    <mergeCell ref="Q163:W163"/>
    <mergeCell ref="X163:AB163"/>
    <mergeCell ref="AC163:AE163"/>
    <mergeCell ref="D164:P164"/>
    <mergeCell ref="Q164:W164"/>
    <mergeCell ref="X164:AB164"/>
    <mergeCell ref="AC164:AE164"/>
    <mergeCell ref="D161:P161"/>
    <mergeCell ref="Q161:W161"/>
    <mergeCell ref="X161:AB161"/>
    <mergeCell ref="AC161:AE161"/>
    <mergeCell ref="D162:P162"/>
    <mergeCell ref="Q162:W162"/>
    <mergeCell ref="X162:AB162"/>
    <mergeCell ref="AC162:AE162"/>
    <mergeCell ref="D159:P159"/>
    <mergeCell ref="Q159:W159"/>
    <mergeCell ref="X159:AB159"/>
    <mergeCell ref="AC159:AE159"/>
    <mergeCell ref="D160:P160"/>
    <mergeCell ref="Q160:W160"/>
    <mergeCell ref="X160:AB160"/>
    <mergeCell ref="AC160:AE160"/>
    <mergeCell ref="C144:C152"/>
    <mergeCell ref="D157:P157"/>
    <mergeCell ref="Q157:W157"/>
    <mergeCell ref="X157:AB157"/>
    <mergeCell ref="AC157:AE157"/>
    <mergeCell ref="D158:P158"/>
    <mergeCell ref="Q158:W158"/>
    <mergeCell ref="X158:AB158"/>
    <mergeCell ref="AC158:AE158"/>
    <mergeCell ref="Q155:W155"/>
    <mergeCell ref="X155:AB155"/>
    <mergeCell ref="D156:P156"/>
    <mergeCell ref="Q156:W156"/>
    <mergeCell ref="X156:AB156"/>
    <mergeCell ref="AC156:AE156"/>
    <mergeCell ref="D153:P153"/>
    <mergeCell ref="Q153:W153"/>
    <mergeCell ref="X153:AB153"/>
    <mergeCell ref="AC153:AE153"/>
    <mergeCell ref="C154:C155"/>
    <mergeCell ref="D154:P155"/>
    <mergeCell ref="Q154:W154"/>
    <mergeCell ref="X154:AB154"/>
    <mergeCell ref="AC154:AE155"/>
    <mergeCell ref="D149:P149"/>
    <mergeCell ref="Q149:W152"/>
    <mergeCell ref="X149:Y152"/>
    <mergeCell ref="Z149:AB152"/>
    <mergeCell ref="AC149:AE149"/>
    <mergeCell ref="D150:P150"/>
    <mergeCell ref="AC150:AE150"/>
    <mergeCell ref="D151:P151"/>
    <mergeCell ref="AC151:AE151"/>
    <mergeCell ref="D152:P152"/>
    <mergeCell ref="AC152:AE152"/>
    <mergeCell ref="AC145:AE145"/>
    <mergeCell ref="D146:P146"/>
    <mergeCell ref="AC146:AE146"/>
    <mergeCell ref="D147:P147"/>
    <mergeCell ref="AC147:AE147"/>
    <mergeCell ref="D148:P148"/>
    <mergeCell ref="AC148:AE148"/>
    <mergeCell ref="D135:P135"/>
    <mergeCell ref="Q135:W135"/>
    <mergeCell ref="X135:AB135"/>
    <mergeCell ref="AC135:AE135"/>
    <mergeCell ref="D144:P144"/>
    <mergeCell ref="Q144:W148"/>
    <mergeCell ref="X144:AB148"/>
    <mergeCell ref="AC144:AE144"/>
    <mergeCell ref="D145:P145"/>
    <mergeCell ref="D133:P133"/>
    <mergeCell ref="Q133:W133"/>
    <mergeCell ref="X133:AB133"/>
    <mergeCell ref="AC133:AE133"/>
    <mergeCell ref="D134:P134"/>
    <mergeCell ref="Q134:W134"/>
    <mergeCell ref="X134:AB134"/>
    <mergeCell ref="AC134:AE134"/>
    <mergeCell ref="D131:P131"/>
    <mergeCell ref="Q131:W131"/>
    <mergeCell ref="X131:AB131"/>
    <mergeCell ref="AC131:AE131"/>
    <mergeCell ref="D132:P132"/>
    <mergeCell ref="Q132:W132"/>
    <mergeCell ref="X132:AB132"/>
    <mergeCell ref="AC132:AE132"/>
    <mergeCell ref="D129:P129"/>
    <mergeCell ref="Q129:W129"/>
    <mergeCell ref="X129:AB129"/>
    <mergeCell ref="AC129:AE129"/>
    <mergeCell ref="D130:P130"/>
    <mergeCell ref="Q130:W130"/>
    <mergeCell ref="X130:AB130"/>
    <mergeCell ref="AC130:AE130"/>
    <mergeCell ref="D127:P127"/>
    <mergeCell ref="Q127:W127"/>
    <mergeCell ref="X127:AB127"/>
    <mergeCell ref="AC127:AE127"/>
    <mergeCell ref="D128:P128"/>
    <mergeCell ref="Q128:W128"/>
    <mergeCell ref="X128:AB128"/>
    <mergeCell ref="AC128:AE128"/>
    <mergeCell ref="D125:P125"/>
    <mergeCell ref="Q125:W125"/>
    <mergeCell ref="X125:AB125"/>
    <mergeCell ref="AC125:AE125"/>
    <mergeCell ref="D126:P126"/>
    <mergeCell ref="Q126:W126"/>
    <mergeCell ref="X126:AB126"/>
    <mergeCell ref="AC126:AE126"/>
    <mergeCell ref="D123:P123"/>
    <mergeCell ref="Q123:W123"/>
    <mergeCell ref="X123:AB123"/>
    <mergeCell ref="AC123:AE123"/>
    <mergeCell ref="D124:P124"/>
    <mergeCell ref="Q124:W124"/>
    <mergeCell ref="X124:AB124"/>
    <mergeCell ref="AC124:AE124"/>
    <mergeCell ref="D120:P120"/>
    <mergeCell ref="Q120:W120"/>
    <mergeCell ref="X120:AB120"/>
    <mergeCell ref="AC120:AE120"/>
    <mergeCell ref="D122:P122"/>
    <mergeCell ref="Q122:W122"/>
    <mergeCell ref="X122:AB122"/>
    <mergeCell ref="AC122:AE122"/>
    <mergeCell ref="D118:P118"/>
    <mergeCell ref="Q118:W118"/>
    <mergeCell ref="X118:AB118"/>
    <mergeCell ref="AC118:AE118"/>
    <mergeCell ref="D119:P119"/>
    <mergeCell ref="Q119:W119"/>
    <mergeCell ref="X119:AB119"/>
    <mergeCell ref="AC119:AE119"/>
    <mergeCell ref="D116:P116"/>
    <mergeCell ref="Q116:W116"/>
    <mergeCell ref="X116:AB116"/>
    <mergeCell ref="AC116:AE116"/>
    <mergeCell ref="D117:P117"/>
    <mergeCell ref="Q117:W117"/>
    <mergeCell ref="X117:AB117"/>
    <mergeCell ref="AC117:AE117"/>
    <mergeCell ref="D114:P114"/>
    <mergeCell ref="Q114:W114"/>
    <mergeCell ref="X114:AB114"/>
    <mergeCell ref="AC114:AE114"/>
    <mergeCell ref="D115:P115"/>
    <mergeCell ref="Q115:W115"/>
    <mergeCell ref="X115:AB115"/>
    <mergeCell ref="AC115:AE115"/>
    <mergeCell ref="D112:P112"/>
    <mergeCell ref="Q112:W112"/>
    <mergeCell ref="X112:AB112"/>
    <mergeCell ref="AC112:AE112"/>
    <mergeCell ref="D113:P113"/>
    <mergeCell ref="Q113:W113"/>
    <mergeCell ref="X113:AB113"/>
    <mergeCell ref="AC113:AE113"/>
    <mergeCell ref="D110:P110"/>
    <mergeCell ref="Q110:W110"/>
    <mergeCell ref="X110:AB110"/>
    <mergeCell ref="AC110:AE110"/>
    <mergeCell ref="D111:P111"/>
    <mergeCell ref="Q111:W111"/>
    <mergeCell ref="X111:AB111"/>
    <mergeCell ref="AC111:AE111"/>
    <mergeCell ref="AC108:AE108"/>
    <mergeCell ref="D109:P109"/>
    <mergeCell ref="Q109:W109"/>
    <mergeCell ref="X109:AB109"/>
    <mergeCell ref="AC109:AE109"/>
    <mergeCell ref="AC102:AE102"/>
    <mergeCell ref="D103:P103"/>
    <mergeCell ref="Q103:W105"/>
    <mergeCell ref="X103:AB105"/>
    <mergeCell ref="AC103:AE105"/>
    <mergeCell ref="D104:P104"/>
    <mergeCell ref="D105:P105"/>
    <mergeCell ref="C102:C105"/>
    <mergeCell ref="D102:P102"/>
    <mergeCell ref="Q102:W102"/>
    <mergeCell ref="X102:AB102"/>
    <mergeCell ref="C97:C101"/>
    <mergeCell ref="D97:P97"/>
    <mergeCell ref="Q97:W97"/>
    <mergeCell ref="X97:AB97"/>
    <mergeCell ref="D108:P108"/>
    <mergeCell ref="Q108:W108"/>
    <mergeCell ref="X108:AB108"/>
    <mergeCell ref="C92:C96"/>
    <mergeCell ref="D92:P92"/>
    <mergeCell ref="Q92:W92"/>
    <mergeCell ref="X92:AB92"/>
    <mergeCell ref="AC92:AE92"/>
    <mergeCell ref="D93:P93"/>
    <mergeCell ref="Q93:W96"/>
    <mergeCell ref="AC97:AE97"/>
    <mergeCell ref="D98:P98"/>
    <mergeCell ref="Q98:W101"/>
    <mergeCell ref="X98:AB101"/>
    <mergeCell ref="AC98:AE101"/>
    <mergeCell ref="D99:P99"/>
    <mergeCell ref="X93:AB96"/>
    <mergeCell ref="AC93:AE93"/>
    <mergeCell ref="D94:P94"/>
    <mergeCell ref="AC94:AE94"/>
    <mergeCell ref="D95:P95"/>
    <mergeCell ref="AC95:AE95"/>
    <mergeCell ref="D96:P96"/>
    <mergeCell ref="AC96:AE96"/>
    <mergeCell ref="D100:P100"/>
    <mergeCell ref="D101:P101"/>
    <mergeCell ref="X89:AB89"/>
    <mergeCell ref="C90:C91"/>
    <mergeCell ref="D90:P91"/>
    <mergeCell ref="Q90:W90"/>
    <mergeCell ref="X90:AB90"/>
    <mergeCell ref="D85:P85"/>
    <mergeCell ref="X85:AB85"/>
    <mergeCell ref="AC90:AE91"/>
    <mergeCell ref="Q91:W91"/>
    <mergeCell ref="X91:AB91"/>
    <mergeCell ref="C81:C84"/>
    <mergeCell ref="D81:P81"/>
    <mergeCell ref="X81:AB81"/>
    <mergeCell ref="C76:C80"/>
    <mergeCell ref="D76:P76"/>
    <mergeCell ref="Q76:W89"/>
    <mergeCell ref="X76:AB76"/>
    <mergeCell ref="AC85:AE85"/>
    <mergeCell ref="C86:C88"/>
    <mergeCell ref="D86:P86"/>
    <mergeCell ref="X86:AB86"/>
    <mergeCell ref="AC86:AE89"/>
    <mergeCell ref="D87:P87"/>
    <mergeCell ref="X87:AB87"/>
    <mergeCell ref="D88:P88"/>
    <mergeCell ref="AC81:AE84"/>
    <mergeCell ref="D82:P82"/>
    <mergeCell ref="X82:AB82"/>
    <mergeCell ref="D83:P83"/>
    <mergeCell ref="X83:AB83"/>
    <mergeCell ref="D84:P84"/>
    <mergeCell ref="X84:AB84"/>
    <mergeCell ref="X88:AB88"/>
    <mergeCell ref="D89:P89"/>
    <mergeCell ref="AC76:AE80"/>
    <mergeCell ref="D77:P77"/>
    <mergeCell ref="X77:AB77"/>
    <mergeCell ref="D78:P78"/>
    <mergeCell ref="X78:AB78"/>
    <mergeCell ref="D79:P79"/>
    <mergeCell ref="D69:H69"/>
    <mergeCell ref="I69:Q69"/>
    <mergeCell ref="R69:X69"/>
    <mergeCell ref="Y69:AE69"/>
    <mergeCell ref="Z71:AE71"/>
    <mergeCell ref="D75:P75"/>
    <mergeCell ref="Q75:W75"/>
    <mergeCell ref="X75:AB75"/>
    <mergeCell ref="AC75:AE75"/>
    <mergeCell ref="X79:AB79"/>
    <mergeCell ref="D80:P80"/>
    <mergeCell ref="X80:AB80"/>
    <mergeCell ref="D67:H67"/>
    <mergeCell ref="I67:Q67"/>
    <mergeCell ref="R67:X67"/>
    <mergeCell ref="Y67:AE67"/>
    <mergeCell ref="D68:H68"/>
    <mergeCell ref="I68:Q68"/>
    <mergeCell ref="R68:X68"/>
    <mergeCell ref="Y68:AE68"/>
    <mergeCell ref="D65:H65"/>
    <mergeCell ref="I65:Q65"/>
    <mergeCell ref="R65:X65"/>
    <mergeCell ref="Y65:AE65"/>
    <mergeCell ref="D66:H66"/>
    <mergeCell ref="I66:Q66"/>
    <mergeCell ref="R66:X66"/>
    <mergeCell ref="Y66:AE66"/>
    <mergeCell ref="C61:AE61"/>
    <mergeCell ref="C62:AE62"/>
    <mergeCell ref="C63:AE63"/>
    <mergeCell ref="D64:H64"/>
    <mergeCell ref="I64:Q64"/>
    <mergeCell ref="R64:X64"/>
    <mergeCell ref="Y64:AE64"/>
    <mergeCell ref="C54:D54"/>
    <mergeCell ref="E54:AE54"/>
    <mergeCell ref="C57:D57"/>
    <mergeCell ref="E57:AE57"/>
    <mergeCell ref="C59:D59"/>
    <mergeCell ref="E59:AE59"/>
    <mergeCell ref="C51:G51"/>
    <mergeCell ref="H51:P51"/>
    <mergeCell ref="R51:V51"/>
    <mergeCell ref="W51:AE51"/>
    <mergeCell ref="C52:G52"/>
    <mergeCell ref="H52:P52"/>
    <mergeCell ref="R52:V52"/>
    <mergeCell ref="W52:AE52"/>
    <mergeCell ref="B46:AE46"/>
    <mergeCell ref="B47:Z47"/>
    <mergeCell ref="C50:G50"/>
    <mergeCell ref="H50:P50"/>
    <mergeCell ref="R50:V50"/>
    <mergeCell ref="W50:AE50"/>
    <mergeCell ref="B31:G31"/>
    <mergeCell ref="H31:P31"/>
    <mergeCell ref="Q31:V31"/>
    <mergeCell ref="W31:AC31"/>
    <mergeCell ref="B33:AE42"/>
    <mergeCell ref="B44:AF44"/>
    <mergeCell ref="B29:G29"/>
    <mergeCell ref="H29:P29"/>
    <mergeCell ref="Q29:V29"/>
    <mergeCell ref="W29:AE29"/>
    <mergeCell ref="B30:G30"/>
    <mergeCell ref="H30:P30"/>
    <mergeCell ref="Q30:V30"/>
    <mergeCell ref="W30:AE30"/>
    <mergeCell ref="B28:G28"/>
    <mergeCell ref="H28:P28"/>
    <mergeCell ref="Q28:V28"/>
    <mergeCell ref="W28:AE28"/>
    <mergeCell ref="A19:AE19"/>
    <mergeCell ref="Z20:AE20"/>
    <mergeCell ref="B21:AE22"/>
    <mergeCell ref="C23:V23"/>
    <mergeCell ref="X23:AE23"/>
    <mergeCell ref="B24:O24"/>
    <mergeCell ref="B3:AE3"/>
    <mergeCell ref="C5:H5"/>
    <mergeCell ref="B9:AD9"/>
    <mergeCell ref="C12:Z12"/>
    <mergeCell ref="B14:AD14"/>
    <mergeCell ref="C15:AD15"/>
    <mergeCell ref="B25:O25"/>
    <mergeCell ref="B26:G26"/>
    <mergeCell ref="U26:AE26"/>
  </mergeCells>
  <phoneticPr fontId="2"/>
  <dataValidations count="5">
    <dataValidation type="list" allowBlank="1" showInputMessage="1" sqref="AC76:AD76 AC81:AD81 AC98:AD101 AC103:AD103 AC93:AD96 G182 AC108:AD143 AC90:AD90 AC85:AD86 AC145:AD154 AC106:AD106 AC156:AD178">
      <formula1>"○"</formula1>
    </dataValidation>
    <dataValidation allowBlank="1" showInputMessage="1" sqref="AC144:AE144"/>
    <dataValidation type="list" allowBlank="1" showInputMessage="1" showErrorMessage="1" sqref="C6:F6">
      <formula1>$AH$6:$AH$6</formula1>
    </dataValidation>
    <dataValidation type="list" allowBlank="1" showInputMessage="1" showErrorMessage="1" sqref="C5:H5">
      <formula1>$AH$5:$AH$6</formula1>
    </dataValidation>
    <dataValidation type="list" allowBlank="1" showInputMessage="1" showErrorMessage="1" sqref="C12:Z12">
      <formula1>$AH$10:$AH$12</formula1>
    </dataValidation>
  </dataValidations>
  <hyperlinks>
    <hyperlink ref="C63" r:id="rId1"/>
    <hyperlink ref="B47" r:id="rId2"/>
  </hyperlinks>
  <pageMargins left="0.39370078740157483" right="0.19685039370078741" top="0.59055118110236227" bottom="0.39370078740157483" header="0.19685039370078741" footer="0.19685039370078741"/>
  <pageSetup paperSize="9" orientation="portrait" cellComments="asDisplayed" r:id="rId3"/>
  <headerFooter>
    <oddHeader>&amp;R&amp;P page</oddHeader>
    <oddFooter>&amp;C&amp;"ＭＳ ゴシック,標準"&amp;9MinebeaMitsumi Inc.</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4577" r:id="rId6" name="Check Box 1">
              <controlPr defaultSize="0" autoFill="0" autoLine="0" autoPict="0">
                <anchor moveWithCells="1">
                  <from>
                    <xdr:col>2</xdr:col>
                    <xdr:colOff>129540</xdr:colOff>
                    <xdr:row>52</xdr:row>
                    <xdr:rowOff>106680</xdr:rowOff>
                  </from>
                  <to>
                    <xdr:col>5</xdr:col>
                    <xdr:colOff>190500</xdr:colOff>
                    <xdr:row>54</xdr:row>
                    <xdr:rowOff>30480</xdr:rowOff>
                  </to>
                </anchor>
              </controlPr>
            </control>
          </mc:Choice>
        </mc:AlternateContent>
        <mc:AlternateContent xmlns:mc="http://schemas.openxmlformats.org/markup-compatibility/2006">
          <mc:Choice Requires="x14">
            <control shapeId="24578" r:id="rId7" name="Check Box 2">
              <controlPr defaultSize="0" autoFill="0" autoLine="0" autoPict="0">
                <anchor moveWithCells="1">
                  <from>
                    <xdr:col>2</xdr:col>
                    <xdr:colOff>129540</xdr:colOff>
                    <xdr:row>55</xdr:row>
                    <xdr:rowOff>182880</xdr:rowOff>
                  </from>
                  <to>
                    <xdr:col>5</xdr:col>
                    <xdr:colOff>205740</xdr:colOff>
                    <xdr:row>57</xdr:row>
                    <xdr:rowOff>30480</xdr:rowOff>
                  </to>
                </anchor>
              </controlPr>
            </control>
          </mc:Choice>
        </mc:AlternateContent>
        <mc:AlternateContent xmlns:mc="http://schemas.openxmlformats.org/markup-compatibility/2006">
          <mc:Choice Requires="x14">
            <control shapeId="24579" r:id="rId8" name="Check Box 3">
              <controlPr defaultSize="0" autoFill="0" autoLine="0" autoPict="0">
                <anchor moveWithCells="1">
                  <from>
                    <xdr:col>2</xdr:col>
                    <xdr:colOff>129540</xdr:colOff>
                    <xdr:row>57</xdr:row>
                    <xdr:rowOff>106680</xdr:rowOff>
                  </from>
                  <to>
                    <xdr:col>5</xdr:col>
                    <xdr:colOff>190500</xdr:colOff>
                    <xdr:row>59</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2:BK213"/>
  <sheetViews>
    <sheetView showGridLines="0" zoomScaleNormal="100" zoomScaleSheetLayoutView="100" workbookViewId="0"/>
  </sheetViews>
  <sheetFormatPr defaultColWidth="9" defaultRowHeight="15.6"/>
  <cols>
    <col min="1" max="1" width="1.109375" style="153" customWidth="1"/>
    <col min="2" max="28" width="3.109375" style="153" customWidth="1"/>
    <col min="29" max="29" width="5.6640625" style="153" customWidth="1"/>
    <col min="30" max="31" width="3.109375" style="153" customWidth="1"/>
    <col min="32" max="32" width="1.109375" style="153" customWidth="1"/>
    <col min="33" max="33" width="5.6640625" style="3" customWidth="1"/>
    <col min="34" max="36" width="5.6640625" style="153" hidden="1" customWidth="1"/>
    <col min="37" max="40" width="5.6640625" style="153" customWidth="1"/>
    <col min="41" max="63" width="9" style="153" customWidth="1"/>
    <col min="64" max="16384" width="9" style="153"/>
  </cols>
  <sheetData>
    <row r="2" spans="1:39">
      <c r="B2" s="175" t="s">
        <v>48</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7"/>
    </row>
    <row r="3" spans="1:39" s="130" customFormat="1" ht="30" customHeight="1">
      <c r="B3" s="741" t="s">
        <v>87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3"/>
      <c r="AG3" s="131"/>
    </row>
    <row r="4" spans="1:39" s="130" customFormat="1" ht="9" customHeight="1" thickBot="1">
      <c r="B4" s="132"/>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9"/>
      <c r="AG4" s="131"/>
    </row>
    <row r="5" spans="1:39" ht="25.5" customHeight="1" thickBot="1">
      <c r="B5" s="133"/>
      <c r="C5" s="298" t="s">
        <v>43</v>
      </c>
      <c r="D5" s="299"/>
      <c r="E5" s="299"/>
      <c r="F5" s="299"/>
      <c r="G5" s="299"/>
      <c r="H5" s="300"/>
      <c r="I5" s="3"/>
      <c r="J5" s="3"/>
      <c r="K5" s="3"/>
      <c r="L5" s="3"/>
      <c r="M5" s="3"/>
      <c r="N5" s="3"/>
      <c r="O5" s="3"/>
      <c r="P5" s="3"/>
      <c r="Q5" s="3"/>
      <c r="R5" s="3"/>
      <c r="S5" s="3"/>
      <c r="T5" s="3"/>
      <c r="U5" s="3"/>
      <c r="V5" s="3"/>
      <c r="W5" s="3"/>
      <c r="X5" s="3"/>
      <c r="Y5" s="3"/>
      <c r="Z5" s="3"/>
      <c r="AA5" s="3"/>
      <c r="AB5" s="3"/>
      <c r="AC5" s="3"/>
      <c r="AD5" s="3"/>
      <c r="AE5" s="134"/>
      <c r="AH5" s="153" t="s">
        <v>43</v>
      </c>
    </row>
    <row r="6" spans="1:39">
      <c r="B6" s="135"/>
      <c r="C6" s="136"/>
      <c r="D6" s="180"/>
      <c r="E6" s="180"/>
      <c r="F6" s="180"/>
      <c r="G6" s="136"/>
      <c r="H6" s="136"/>
      <c r="I6" s="136"/>
      <c r="J6" s="136"/>
      <c r="K6" s="136"/>
      <c r="L6" s="136"/>
      <c r="M6" s="136"/>
      <c r="N6" s="136"/>
      <c r="O6" s="136"/>
      <c r="P6" s="136"/>
      <c r="Q6" s="136"/>
      <c r="R6" s="136"/>
      <c r="S6" s="136"/>
      <c r="T6" s="136"/>
      <c r="U6" s="136"/>
      <c r="V6" s="136"/>
      <c r="W6" s="136"/>
      <c r="X6" s="136"/>
      <c r="Y6" s="136"/>
      <c r="Z6" s="136"/>
      <c r="AA6" s="136"/>
      <c r="AB6" s="136"/>
      <c r="AC6" s="136"/>
      <c r="AD6" s="136"/>
      <c r="AE6" s="137"/>
      <c r="AH6" s="153" t="s">
        <v>44</v>
      </c>
    </row>
    <row r="7" spans="1:39" ht="16.2" thickBot="1"/>
    <row r="8" spans="1:39">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3"/>
    </row>
    <row r="9" spans="1:39" s="130" customFormat="1" ht="45" customHeight="1">
      <c r="B9" s="293" t="s">
        <v>47</v>
      </c>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140"/>
      <c r="AG9" s="131"/>
    </row>
    <row r="10" spans="1:39" s="78" customFormat="1" ht="13.5" customHeight="1">
      <c r="A10" s="171"/>
      <c r="B10" s="112"/>
      <c r="C10" s="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2"/>
      <c r="AF10" s="183"/>
      <c r="AG10" s="181"/>
      <c r="AH10" s="2" t="s">
        <v>32</v>
      </c>
      <c r="AI10" s="138" t="s">
        <v>46</v>
      </c>
      <c r="AJ10" s="138" t="s">
        <v>68</v>
      </c>
      <c r="AL10" s="80"/>
    </row>
    <row r="11" spans="1:39" s="1" customFormat="1" ht="16.2" thickBot="1">
      <c r="B11" s="107" t="s">
        <v>45</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108"/>
      <c r="AF11" s="62"/>
      <c r="AG11" s="62"/>
      <c r="AH11" s="2" t="s">
        <v>31</v>
      </c>
      <c r="AI11" s="153" t="s">
        <v>62</v>
      </c>
      <c r="AJ11" s="4" t="s">
        <v>66</v>
      </c>
    </row>
    <row r="12" spans="1:39" s="1" customFormat="1" ht="16.2" thickBot="1">
      <c r="B12" s="107"/>
      <c r="C12" s="476" t="s">
        <v>33</v>
      </c>
      <c r="D12" s="477"/>
      <c r="E12" s="477"/>
      <c r="F12" s="477"/>
      <c r="G12" s="477"/>
      <c r="H12" s="477"/>
      <c r="I12" s="477"/>
      <c r="J12" s="477"/>
      <c r="K12" s="477"/>
      <c r="L12" s="477"/>
      <c r="M12" s="477"/>
      <c r="N12" s="477"/>
      <c r="O12" s="477"/>
      <c r="P12" s="477"/>
      <c r="Q12" s="477"/>
      <c r="R12" s="477"/>
      <c r="S12" s="477"/>
      <c r="T12" s="477"/>
      <c r="U12" s="477"/>
      <c r="V12" s="477"/>
      <c r="W12" s="477"/>
      <c r="X12" s="477"/>
      <c r="Y12" s="477"/>
      <c r="Z12" s="478"/>
      <c r="AA12" s="62"/>
      <c r="AB12" s="62"/>
      <c r="AC12" s="62"/>
      <c r="AD12" s="62"/>
      <c r="AE12" s="108"/>
      <c r="AF12" s="62"/>
      <c r="AG12" s="62"/>
      <c r="AH12" s="2" t="s">
        <v>33</v>
      </c>
      <c r="AI12" s="153" t="s">
        <v>58</v>
      </c>
      <c r="AJ12" s="4" t="s">
        <v>67</v>
      </c>
    </row>
    <row r="13" spans="1:39">
      <c r="B13" s="104"/>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105"/>
      <c r="AF13" s="3"/>
    </row>
    <row r="14" spans="1:39" s="78" customFormat="1" ht="16.5" customHeight="1">
      <c r="A14" s="171"/>
      <c r="B14" s="493" t="str">
        <f>IF(C12="English","２、Presence or absence of prohibited substances for customer requirements(added in Sheet 1) ",IF(C12="中文","２、是否存在客户要求违禁物质（附件1）","２、顧客要求禁止物質(別紙1追加)の有無"))</f>
        <v>２、是否存在客户要求违禁物质（附件1）</v>
      </c>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494"/>
      <c r="AA14" s="494"/>
      <c r="AB14" s="494"/>
      <c r="AC14" s="494"/>
      <c r="AD14" s="494"/>
      <c r="AE14" s="106"/>
      <c r="AF14" s="76"/>
      <c r="AG14" s="77"/>
      <c r="AM14" s="79"/>
    </row>
    <row r="15" spans="1:39" s="78" customFormat="1" ht="90" customHeight="1">
      <c r="A15" s="171"/>
      <c r="B15" s="184"/>
      <c r="C15" s="301" t="str">
        <f>VLOOKUP(C12,AH10:AJ12,IF(C5="有り / with / 是",2,3),FALSE)</f>
        <v>由于本表格中未特别指定顾客要求的禁止物质，因此无需填写或提交附件 1。
※ 但是，其他委托书中，有记载本公司客户要求的禁止物质时，
     要根据其他委托书予以禁止。</v>
      </c>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106"/>
      <c r="AF15" s="76"/>
      <c r="AG15" s="77"/>
      <c r="AM15" s="79"/>
    </row>
    <row r="16" spans="1:39" s="78" customFormat="1" ht="13.5" customHeight="1">
      <c r="B16" s="185"/>
      <c r="C16" s="81"/>
      <c r="D16" s="81"/>
      <c r="E16" s="181"/>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7"/>
      <c r="AF16" s="183"/>
      <c r="AG16" s="181"/>
      <c r="AI16" s="80"/>
      <c r="AL16" s="80"/>
    </row>
    <row r="17" spans="1:41">
      <c r="B17" s="104" t="str">
        <f>IF(C12="English","３、Please fill in Certificate of Non-use of prohibited Substance below.",IF(C12="中文","３、以下，拜托填写禁止物质不使用证明书。","３、以下、禁止物質不使用証明書の記入をお願い致します。"))</f>
        <v>３、以下，拜托填写禁止物质不使用证明书。</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105"/>
      <c r="AF17" s="3"/>
    </row>
    <row r="18" spans="1:41" ht="16.2" thickBot="1">
      <c r="B18" s="109"/>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1"/>
      <c r="AF18" s="3"/>
    </row>
    <row r="19" spans="1:41">
      <c r="A19" s="495"/>
      <c r="B19" s="494"/>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3"/>
    </row>
    <row r="20" spans="1:41" ht="13.5" customHeight="1">
      <c r="B20" s="153" t="str">
        <f>'Certificate of Non-use'!B20</f>
        <v>9th</v>
      </c>
      <c r="X20" s="4"/>
      <c r="Y20" s="4"/>
      <c r="Z20" s="488"/>
      <c r="AA20" s="488"/>
      <c r="AB20" s="488"/>
      <c r="AC20" s="488"/>
      <c r="AD20" s="488"/>
      <c r="AE20" s="488"/>
    </row>
    <row r="21" spans="1:41" ht="10.050000000000001" customHeight="1">
      <c r="B21" s="483" t="str">
        <f>IF(C12="English","Certificate of Non-use of prohibited Substance",IF(C12="中文","禁用物质不使用证明书","禁止物質不使用証明書"))</f>
        <v>禁用物质不使用证明书</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row>
    <row r="22" spans="1:41" ht="10.050000000000001" customHeight="1">
      <c r="B22" s="443"/>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row>
    <row r="23" spans="1:41" ht="12" customHeight="1">
      <c r="C23" s="489"/>
      <c r="D23" s="489"/>
      <c r="E23" s="489"/>
      <c r="F23" s="489"/>
      <c r="G23" s="489"/>
      <c r="H23" s="489"/>
      <c r="I23" s="489"/>
      <c r="J23" s="489"/>
      <c r="K23" s="489"/>
      <c r="L23" s="489"/>
      <c r="M23" s="489"/>
      <c r="N23" s="489"/>
      <c r="O23" s="489"/>
      <c r="P23" s="489"/>
      <c r="Q23" s="489"/>
      <c r="R23" s="489"/>
      <c r="S23" s="489"/>
      <c r="T23" s="489"/>
      <c r="U23" s="489"/>
      <c r="V23" s="489"/>
      <c r="W23" s="188"/>
      <c r="X23" s="490"/>
      <c r="Y23" s="490"/>
      <c r="Z23" s="490"/>
      <c r="AA23" s="490"/>
      <c r="AB23" s="490"/>
      <c r="AC23" s="490"/>
      <c r="AD23" s="490"/>
      <c r="AE23" s="490"/>
      <c r="AO23" s="3"/>
    </row>
    <row r="24" spans="1:41" ht="20.100000000000001" customHeight="1">
      <c r="B24" s="491"/>
      <c r="C24" s="492"/>
      <c r="D24" s="492"/>
      <c r="E24" s="492"/>
      <c r="F24" s="492"/>
      <c r="G24" s="492"/>
      <c r="H24" s="492"/>
      <c r="I24" s="492"/>
      <c r="J24" s="492"/>
      <c r="K24" s="492"/>
      <c r="L24" s="492"/>
      <c r="M24" s="492"/>
      <c r="N24" s="492"/>
      <c r="O24" s="492"/>
      <c r="P24" s="6"/>
      <c r="U24" s="3"/>
      <c r="V24" s="83"/>
      <c r="W24" s="83"/>
      <c r="X24" s="83"/>
      <c r="Y24" s="83"/>
      <c r="Z24" s="7"/>
      <c r="AA24" s="7"/>
      <c r="AB24" s="7"/>
      <c r="AC24" s="7"/>
      <c r="AD24" s="7"/>
      <c r="AE24" s="7"/>
      <c r="AO24" s="3"/>
    </row>
    <row r="25" spans="1:41" ht="20.100000000000001" customHeight="1">
      <c r="B25" s="496"/>
      <c r="C25" s="497"/>
      <c r="D25" s="497"/>
      <c r="E25" s="497"/>
      <c r="F25" s="497"/>
      <c r="G25" s="497"/>
      <c r="H25" s="497"/>
      <c r="I25" s="497"/>
      <c r="J25" s="497"/>
      <c r="K25" s="497"/>
      <c r="L25" s="497"/>
      <c r="M25" s="497"/>
      <c r="N25" s="497"/>
      <c r="O25" s="498"/>
      <c r="P25" s="3"/>
      <c r="AI25" s="8"/>
      <c r="AK25" s="8"/>
      <c r="AL25" s="8"/>
      <c r="AM25" s="8"/>
      <c r="AN25" s="8"/>
      <c r="AO25" s="3"/>
    </row>
    <row r="26" spans="1:41" ht="10.050000000000001" customHeight="1">
      <c r="B26" s="434"/>
      <c r="C26" s="434"/>
      <c r="D26" s="434"/>
      <c r="E26" s="434"/>
      <c r="F26" s="434"/>
      <c r="G26" s="434"/>
      <c r="H26" s="9"/>
      <c r="I26" s="157"/>
      <c r="J26" s="157"/>
      <c r="K26" s="157"/>
      <c r="L26" s="157"/>
      <c r="M26" s="152"/>
      <c r="N26" s="157"/>
      <c r="O26" s="157"/>
      <c r="P26" s="83"/>
      <c r="T26" s="152"/>
      <c r="U26" s="429"/>
      <c r="V26" s="429"/>
      <c r="W26" s="429"/>
      <c r="X26" s="429"/>
      <c r="Y26" s="429"/>
      <c r="Z26" s="429"/>
      <c r="AA26" s="429"/>
      <c r="AB26" s="429"/>
      <c r="AC26" s="429"/>
      <c r="AD26" s="429"/>
      <c r="AE26" s="429"/>
      <c r="AI26" s="8"/>
      <c r="AJ26" s="8"/>
      <c r="AK26" s="8"/>
      <c r="AL26" s="8"/>
      <c r="AM26" s="8"/>
      <c r="AN26" s="8"/>
    </row>
    <row r="27" spans="1:41" ht="15" customHeight="1">
      <c r="B27" s="84" t="str">
        <f>IF(C12="English","Manufacturer to fill out",IF(C12="中文","[提出源记入栏］","[提出元記入欄］"))</f>
        <v>[提出源记入栏］</v>
      </c>
      <c r="C27" s="5"/>
      <c r="E27" s="5"/>
      <c r="F27" s="5"/>
      <c r="G27" s="189"/>
      <c r="H27" s="83"/>
      <c r="I27" s="10"/>
      <c r="J27" s="10"/>
      <c r="K27" s="3"/>
      <c r="L27" s="3"/>
      <c r="P27" s="84"/>
      <c r="Q27" s="11"/>
      <c r="R27" s="11"/>
      <c r="S27" s="12"/>
      <c r="T27" s="190"/>
      <c r="AH27" s="8"/>
      <c r="AI27" s="8"/>
      <c r="AJ27" s="8"/>
      <c r="AK27" s="8"/>
      <c r="AL27" s="8"/>
      <c r="AM27" s="8"/>
      <c r="AN27" s="8"/>
    </row>
    <row r="28" spans="1:41" ht="22.05" customHeight="1">
      <c r="A28" s="3"/>
      <c r="B28" s="487" t="str">
        <f>IF(C12="English","Date(yy.mm.dd)",IF(C12="中文","发行日","発行日"))</f>
        <v>发行日</v>
      </c>
      <c r="C28" s="485"/>
      <c r="D28" s="485"/>
      <c r="E28" s="485"/>
      <c r="F28" s="485"/>
      <c r="G28" s="486"/>
      <c r="H28" s="447" t="s">
        <v>25</v>
      </c>
      <c r="I28" s="471"/>
      <c r="J28" s="471"/>
      <c r="K28" s="471"/>
      <c r="L28" s="471"/>
      <c r="M28" s="471"/>
      <c r="N28" s="471"/>
      <c r="O28" s="471"/>
      <c r="P28" s="471"/>
      <c r="Q28" s="484" t="str">
        <f>IF(C12="English","E-mail",IF(C12="中文","邮箱地址","メールアドレス"))</f>
        <v>邮箱地址</v>
      </c>
      <c r="R28" s="485"/>
      <c r="S28" s="485"/>
      <c r="T28" s="485"/>
      <c r="U28" s="485"/>
      <c r="V28" s="486"/>
      <c r="W28" s="447" t="s">
        <v>24</v>
      </c>
      <c r="X28" s="448"/>
      <c r="Y28" s="448"/>
      <c r="Z28" s="448"/>
      <c r="AA28" s="448"/>
      <c r="AB28" s="448"/>
      <c r="AC28" s="448"/>
      <c r="AD28" s="448"/>
      <c r="AE28" s="448"/>
      <c r="AH28" s="8"/>
      <c r="AI28" s="8"/>
      <c r="AJ28" s="8"/>
      <c r="AK28" s="8"/>
      <c r="AL28" s="8"/>
      <c r="AM28" s="8"/>
      <c r="AN28" s="8"/>
    </row>
    <row r="29" spans="1:41" ht="22.05" customHeight="1">
      <c r="A29" s="3"/>
      <c r="B29" s="487" t="str">
        <f>IF(C12="English","Company name",IF(C12="中文","公司名称","会社名"))</f>
        <v>公司名称</v>
      </c>
      <c r="C29" s="485"/>
      <c r="D29" s="485"/>
      <c r="E29" s="485"/>
      <c r="F29" s="485"/>
      <c r="G29" s="486"/>
      <c r="H29" s="499" t="s">
        <v>25</v>
      </c>
      <c r="I29" s="448"/>
      <c r="J29" s="448"/>
      <c r="K29" s="448"/>
      <c r="L29" s="448"/>
      <c r="M29" s="448"/>
      <c r="N29" s="448"/>
      <c r="O29" s="448"/>
      <c r="P29" s="500"/>
      <c r="Q29" s="484" t="str">
        <f>IF(C12="English","Phone number",IF(C12="中文","电话号码","電話番号"))</f>
        <v>电话号码</v>
      </c>
      <c r="R29" s="485"/>
      <c r="S29" s="485"/>
      <c r="T29" s="485"/>
      <c r="U29" s="485"/>
      <c r="V29" s="486"/>
      <c r="W29" s="447" t="s">
        <v>24</v>
      </c>
      <c r="X29" s="448"/>
      <c r="Y29" s="448"/>
      <c r="Z29" s="448"/>
      <c r="AA29" s="448"/>
      <c r="AB29" s="448"/>
      <c r="AC29" s="448"/>
      <c r="AD29" s="448"/>
      <c r="AE29" s="448"/>
      <c r="AH29" s="8"/>
      <c r="AI29" s="8"/>
      <c r="AJ29" s="8"/>
      <c r="AK29" s="8"/>
      <c r="AL29" s="8"/>
      <c r="AM29" s="8"/>
      <c r="AN29" s="8"/>
    </row>
    <row r="30" spans="1:41" ht="22.05" customHeight="1">
      <c r="A30" s="3"/>
      <c r="B30" s="501" t="str">
        <f>IF(C12="English","Division name",IF(C12="中文","部门名称","部署名"))</f>
        <v>部门名称</v>
      </c>
      <c r="C30" s="501"/>
      <c r="D30" s="501"/>
      <c r="E30" s="501"/>
      <c r="F30" s="501"/>
      <c r="G30" s="502"/>
      <c r="H30" s="465" t="s">
        <v>24</v>
      </c>
      <c r="I30" s="466"/>
      <c r="J30" s="466"/>
      <c r="K30" s="466"/>
      <c r="L30" s="466"/>
      <c r="M30" s="466"/>
      <c r="N30" s="466"/>
      <c r="O30" s="466"/>
      <c r="P30" s="466"/>
      <c r="Q30" s="479" t="str">
        <f>IF(C12="English","Responsible person",IF(C12="中文","责任者名","責任者名"))</f>
        <v>责任者名</v>
      </c>
      <c r="R30" s="480"/>
      <c r="S30" s="480"/>
      <c r="T30" s="480"/>
      <c r="U30" s="480"/>
      <c r="V30" s="481"/>
      <c r="W30" s="465" t="s">
        <v>24</v>
      </c>
      <c r="X30" s="467"/>
      <c r="Y30" s="467"/>
      <c r="Z30" s="467"/>
      <c r="AA30" s="467"/>
      <c r="AB30" s="467"/>
      <c r="AC30" s="467"/>
      <c r="AD30" s="467"/>
      <c r="AE30" s="467"/>
      <c r="AH30" s="8"/>
      <c r="AI30" s="8"/>
      <c r="AJ30" s="8"/>
      <c r="AK30" s="8"/>
      <c r="AL30" s="8"/>
      <c r="AM30" s="8"/>
      <c r="AN30" s="8"/>
    </row>
    <row r="31" spans="1:41" ht="22.05" customHeight="1">
      <c r="B31" s="487" t="str">
        <f>IF(C12="English","Written by",IF(C12="中文","填写者名","記入者名"))</f>
        <v>填写者名</v>
      </c>
      <c r="C31" s="485"/>
      <c r="D31" s="485"/>
      <c r="E31" s="485"/>
      <c r="F31" s="485"/>
      <c r="G31" s="486"/>
      <c r="H31" s="447" t="s">
        <v>25</v>
      </c>
      <c r="I31" s="448"/>
      <c r="J31" s="448"/>
      <c r="K31" s="448"/>
      <c r="L31" s="448"/>
      <c r="M31" s="448"/>
      <c r="N31" s="448"/>
      <c r="O31" s="448"/>
      <c r="P31" s="448"/>
      <c r="Q31" s="468" t="str">
        <f>IF(C12="English"," Signature",IF(C12="中文","盖章","印　／　サイン"))</f>
        <v>盖章</v>
      </c>
      <c r="R31" s="469"/>
      <c r="S31" s="469"/>
      <c r="T31" s="469"/>
      <c r="U31" s="469"/>
      <c r="V31" s="470"/>
      <c r="W31" s="482"/>
      <c r="X31" s="448"/>
      <c r="Y31" s="448"/>
      <c r="Z31" s="448"/>
      <c r="AA31" s="448"/>
      <c r="AB31" s="448"/>
      <c r="AC31" s="448"/>
      <c r="AD31" s="155" t="str">
        <f>IF(C12="English","",IF(C12="中文","盖章","印"))</f>
        <v>盖章</v>
      </c>
      <c r="AE31" s="156"/>
    </row>
    <row r="32" spans="1:41" ht="10.050000000000001" customHeight="1">
      <c r="J32" s="83"/>
      <c r="K32" s="10"/>
      <c r="L32" s="10"/>
      <c r="M32" s="10"/>
      <c r="Y32" s="191"/>
    </row>
    <row r="33" spans="1:63" ht="14.55" customHeight="1">
      <c r="A33" s="84"/>
      <c r="B33" s="566" t="str">
        <f>IF(C12="English",AH34,IF(C12="中文",AH35,AH33))</f>
        <v>　本公司，向贵公司提供的部品、部材、部品组件、原材料、原材料的加工品、辅助材料以及贵公司产品出货用的包装材料，对于贵公司「美蓓亚三美集团绿色采购管理要领EM10507第9版」（以下称为EM10507）要求的禁止物质以及附件1「顾客要求禁止物质一览表」或相当于附件1的其他委托书中针对作为对象的物质，除以下2项，保证不使用。 
　关于贵公司所记载的化学物质限制值，在接到贵公司判断超出了所记载的限制值的联络时，或者是在本公司发现了超出法规限制值时，和贵公司取得联络并协商解决。
    另外，我公司保证向贵公司出货时使用的包装材料符合EM10507的3-8项的要求事项。</v>
      </c>
      <c r="C33" s="566"/>
      <c r="D33" s="566"/>
      <c r="E33" s="566"/>
      <c r="F33" s="566"/>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84"/>
      <c r="AG33" s="157"/>
      <c r="AH33" s="139" t="s">
        <v>54</v>
      </c>
    </row>
    <row r="34" spans="1:63" ht="14.55" customHeight="1">
      <c r="A34" s="84"/>
      <c r="B34" s="566"/>
      <c r="C34" s="566"/>
      <c r="D34" s="566"/>
      <c r="E34" s="566"/>
      <c r="F34" s="566"/>
      <c r="G34" s="566"/>
      <c r="H34" s="566"/>
      <c r="I34" s="566"/>
      <c r="J34" s="566"/>
      <c r="K34" s="566"/>
      <c r="L34" s="566"/>
      <c r="M34" s="566"/>
      <c r="N34" s="566"/>
      <c r="O34" s="566"/>
      <c r="P34" s="566"/>
      <c r="Q34" s="566"/>
      <c r="R34" s="566"/>
      <c r="S34" s="566"/>
      <c r="T34" s="566"/>
      <c r="U34" s="566"/>
      <c r="V34" s="566"/>
      <c r="W34" s="566"/>
      <c r="X34" s="566"/>
      <c r="Y34" s="566"/>
      <c r="Z34" s="566"/>
      <c r="AA34" s="566"/>
      <c r="AB34" s="566"/>
      <c r="AC34" s="566"/>
      <c r="AD34" s="566"/>
      <c r="AE34" s="566"/>
      <c r="AF34" s="84"/>
      <c r="AG34" s="157"/>
      <c r="AH34" s="128" t="s">
        <v>69</v>
      </c>
    </row>
    <row r="35" spans="1:63" ht="14.55" customHeight="1">
      <c r="A35" s="84"/>
      <c r="B35" s="566"/>
      <c r="C35" s="566"/>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84"/>
      <c r="AG35" s="157"/>
      <c r="AH35" s="139" t="s">
        <v>84</v>
      </c>
    </row>
    <row r="36" spans="1:63" ht="14.55" customHeight="1">
      <c r="A36" s="84"/>
      <c r="B36" s="566"/>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84"/>
      <c r="AG36" s="157"/>
      <c r="AH36" s="139"/>
    </row>
    <row r="37" spans="1:63" ht="14.55" customHeight="1">
      <c r="A37" s="84"/>
      <c r="B37" s="566"/>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66"/>
      <c r="AD37" s="566"/>
      <c r="AE37" s="566"/>
      <c r="AF37" s="84"/>
      <c r="AG37" s="157"/>
    </row>
    <row r="38" spans="1:63" ht="14.55" customHeight="1">
      <c r="A38" s="84"/>
      <c r="B38" s="566"/>
      <c r="C38" s="566"/>
      <c r="D38" s="566"/>
      <c r="E38" s="566"/>
      <c r="F38" s="566"/>
      <c r="G38" s="566"/>
      <c r="H38" s="566"/>
      <c r="I38" s="566"/>
      <c r="J38" s="566"/>
      <c r="K38" s="566"/>
      <c r="L38" s="566"/>
      <c r="M38" s="566"/>
      <c r="N38" s="566"/>
      <c r="O38" s="566"/>
      <c r="P38" s="566"/>
      <c r="Q38" s="566"/>
      <c r="R38" s="566"/>
      <c r="S38" s="566"/>
      <c r="T38" s="566"/>
      <c r="U38" s="566"/>
      <c r="V38" s="566"/>
      <c r="W38" s="566"/>
      <c r="X38" s="566"/>
      <c r="Y38" s="566"/>
      <c r="Z38" s="566"/>
      <c r="AA38" s="566"/>
      <c r="AB38" s="566"/>
      <c r="AC38" s="566"/>
      <c r="AD38" s="566"/>
      <c r="AE38" s="566"/>
      <c r="AF38" s="84"/>
      <c r="AH38" s="192"/>
      <c r="AI38" s="157"/>
    </row>
    <row r="39" spans="1:63" ht="14.55" customHeight="1">
      <c r="A39" s="84"/>
      <c r="B39" s="566"/>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84"/>
      <c r="AH39" s="192"/>
      <c r="AI39" s="157"/>
    </row>
    <row r="40" spans="1:63" ht="14.55" customHeight="1">
      <c r="A40" s="84"/>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84"/>
      <c r="AH40" s="192"/>
      <c r="AI40" s="157"/>
    </row>
    <row r="41" spans="1:63" ht="14.55" customHeight="1">
      <c r="A41" s="84"/>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84"/>
      <c r="AH41" s="192"/>
      <c r="AI41" s="157"/>
    </row>
    <row r="42" spans="1:63" ht="14.55" customHeight="1">
      <c r="A42" s="84"/>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84"/>
      <c r="AG42" s="13"/>
      <c r="AH42" s="13"/>
      <c r="AI42" s="3"/>
      <c r="AJ42" s="3"/>
      <c r="AK42" s="3"/>
      <c r="AL42" s="3"/>
      <c r="AM42" s="3"/>
      <c r="AN42" s="3"/>
    </row>
    <row r="43" spans="1:63" ht="5.0999999999999996" customHeight="1">
      <c r="A43" s="83"/>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4"/>
      <c r="AG43" s="13"/>
      <c r="AK43" s="3"/>
      <c r="AL43" s="3"/>
      <c r="AM43" s="3"/>
      <c r="AN43" s="3"/>
    </row>
    <row r="44" spans="1:63" s="144" customFormat="1" ht="30" customHeight="1">
      <c r="A44" s="193"/>
      <c r="B44" s="568" t="str">
        <f>VLOOKUP(C12,AH44:AJ47,IF(C5="有り / with / 是",2,3),FALSE)</f>
        <v xml:space="preserve"> 附件 1的有无:无</v>
      </c>
      <c r="C44" s="569"/>
      <c r="D44" s="569"/>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69"/>
      <c r="AD44" s="569"/>
      <c r="AE44" s="569"/>
      <c r="AF44" s="569"/>
      <c r="AG44" s="141"/>
      <c r="AH44" s="142" t="s">
        <v>32</v>
      </c>
      <c r="AI44" s="143" t="s">
        <v>56</v>
      </c>
      <c r="AJ44" s="144" t="s">
        <v>55</v>
      </c>
      <c r="AM44" s="145"/>
    </row>
    <row r="45" spans="1:63" s="144" customFormat="1" ht="10.050000000000001" customHeight="1">
      <c r="A45" s="193"/>
      <c r="B45" s="200"/>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41"/>
      <c r="AH45" s="142"/>
      <c r="AI45" s="143"/>
      <c r="AM45" s="145"/>
    </row>
    <row r="46" spans="1:63" ht="16.05" customHeight="1">
      <c r="A46" s="195"/>
      <c r="B46" s="451" t="str">
        <f>IF(C12="English","Address where EM10507 is posted",IF(C12="中文","EM10507的揭示地址","EM10507 掲載アドレス"))</f>
        <v>EM10507的揭示地址</v>
      </c>
      <c r="C46" s="451"/>
      <c r="D46" s="451"/>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G46" s="157"/>
      <c r="AH46" s="2" t="s">
        <v>31</v>
      </c>
      <c r="AI46" s="130" t="s">
        <v>51</v>
      </c>
      <c r="AJ46" s="8" t="s">
        <v>52</v>
      </c>
      <c r="AK46" s="100"/>
      <c r="AL46" s="100"/>
      <c r="AM46" s="100"/>
      <c r="AN46" s="100"/>
      <c r="AO46" s="14"/>
      <c r="AP46" s="14"/>
      <c r="AQ46" s="14"/>
      <c r="AR46" s="14"/>
      <c r="AS46" s="14"/>
      <c r="AT46" s="14"/>
      <c r="AU46" s="14"/>
      <c r="AV46" s="14"/>
      <c r="AW46" s="14"/>
      <c r="AX46" s="14"/>
      <c r="AY46" s="14"/>
      <c r="AZ46" s="14"/>
      <c r="BA46" s="14"/>
      <c r="BB46" s="14"/>
      <c r="BC46" s="14"/>
      <c r="BD46" s="14"/>
      <c r="BE46" s="14"/>
      <c r="BF46" s="14"/>
      <c r="BG46" s="14"/>
      <c r="BH46" s="14"/>
      <c r="BI46" s="14"/>
      <c r="BJ46" s="14"/>
      <c r="BK46" s="14"/>
    </row>
    <row r="47" spans="1:63" ht="16.05" customHeight="1">
      <c r="A47" s="195"/>
      <c r="B47" s="570" t="s">
        <v>49</v>
      </c>
      <c r="C47" s="571"/>
      <c r="D47" s="571"/>
      <c r="E47" s="571"/>
      <c r="F47" s="571"/>
      <c r="G47" s="571"/>
      <c r="H47" s="571"/>
      <c r="I47" s="571"/>
      <c r="J47" s="571"/>
      <c r="K47" s="571"/>
      <c r="L47" s="571"/>
      <c r="M47" s="571"/>
      <c r="N47" s="571"/>
      <c r="O47" s="571"/>
      <c r="P47" s="571"/>
      <c r="Q47" s="571"/>
      <c r="R47" s="571"/>
      <c r="S47" s="571"/>
      <c r="T47" s="571"/>
      <c r="U47" s="571"/>
      <c r="V47" s="571"/>
      <c r="W47" s="571"/>
      <c r="X47" s="571"/>
      <c r="Y47" s="571"/>
      <c r="Z47" s="571"/>
      <c r="AA47" s="60"/>
      <c r="AB47" s="61"/>
      <c r="AC47" s="61"/>
      <c r="AD47" s="61"/>
      <c r="AE47" s="61"/>
      <c r="AF47" s="8"/>
      <c r="AG47" s="196"/>
      <c r="AH47" s="2" t="s">
        <v>33</v>
      </c>
      <c r="AI47" s="130" t="s">
        <v>60</v>
      </c>
      <c r="AJ47" s="4" t="s">
        <v>59</v>
      </c>
      <c r="AK47" s="3"/>
      <c r="AL47" s="100"/>
      <c r="AM47" s="100"/>
      <c r="AN47" s="100"/>
      <c r="AO47" s="14"/>
      <c r="AP47" s="14"/>
      <c r="AQ47" s="14"/>
      <c r="AR47" s="14"/>
      <c r="AS47" s="14"/>
      <c r="AT47" s="14"/>
      <c r="AU47" s="14"/>
      <c r="AV47" s="14"/>
      <c r="AW47" s="14"/>
      <c r="AX47" s="14"/>
      <c r="AY47" s="14"/>
      <c r="AZ47" s="14"/>
      <c r="BA47" s="14"/>
      <c r="BB47" s="14"/>
      <c r="BC47" s="14"/>
      <c r="BD47" s="14"/>
      <c r="BE47" s="14"/>
      <c r="BF47" s="14"/>
      <c r="BG47" s="14"/>
      <c r="BH47" s="14"/>
      <c r="BI47" s="14"/>
      <c r="BJ47" s="14"/>
    </row>
    <row r="48" spans="1:63" s="78" customFormat="1" ht="10.050000000000001" customHeight="1">
      <c r="A48" s="171"/>
      <c r="B48" s="70"/>
      <c r="C48" s="71"/>
      <c r="D48" s="72"/>
      <c r="E48" s="73"/>
      <c r="F48" s="73"/>
      <c r="G48" s="73"/>
      <c r="H48" s="70"/>
      <c r="I48" s="73"/>
      <c r="J48" s="73"/>
      <c r="K48" s="71"/>
      <c r="L48" s="73"/>
      <c r="M48" s="73"/>
      <c r="N48" s="73"/>
      <c r="O48" s="73"/>
      <c r="P48" s="73"/>
      <c r="Q48" s="72"/>
      <c r="R48" s="74"/>
      <c r="S48" s="73"/>
      <c r="T48" s="75"/>
      <c r="U48" s="76"/>
      <c r="V48" s="77"/>
      <c r="W48" s="77"/>
      <c r="X48" s="77"/>
      <c r="Y48" s="77"/>
      <c r="Z48" s="74"/>
      <c r="AA48" s="71"/>
      <c r="AB48" s="71"/>
      <c r="AC48" s="77"/>
      <c r="AD48" s="77"/>
      <c r="AE48" s="77"/>
      <c r="AF48" s="76"/>
      <c r="AG48" s="77"/>
      <c r="AI48" s="79"/>
      <c r="AM48" s="79"/>
    </row>
    <row r="49" spans="1:39" ht="14.55" customHeight="1">
      <c r="A49" s="15"/>
      <c r="B49" s="16" t="str">
        <f>IF(C12="English","1．Part name or Part number",IF(C12="中文","1．品名・品番号・图番号・条款编号","1．品名・品番・図番・アイテムコード"))</f>
        <v>1．品名・品番号・图番号・条款编号</v>
      </c>
      <c r="C49" s="15"/>
      <c r="G49" s="17"/>
      <c r="N49" s="84"/>
      <c r="AG49" s="83"/>
    </row>
    <row r="50" spans="1:39" ht="24" customHeight="1">
      <c r="C50" s="452" t="str">
        <f>IF(C12="English","Our part name, Manufacturer :",IF(C12="中文","本公司品名(厂家名):","弊社品名(ﾒｰｶｰ名)："))</f>
        <v>本公司品名(厂家名):</v>
      </c>
      <c r="D50" s="453"/>
      <c r="E50" s="453"/>
      <c r="F50" s="453"/>
      <c r="G50" s="453"/>
      <c r="H50" s="454"/>
      <c r="I50" s="455"/>
      <c r="J50" s="455"/>
      <c r="K50" s="455"/>
      <c r="L50" s="455"/>
      <c r="M50" s="455"/>
      <c r="N50" s="455"/>
      <c r="O50" s="455"/>
      <c r="P50" s="455"/>
      <c r="R50" s="456" t="str">
        <f>IF(C12="English","Our part, Drawing number :",IF(C12="中文","本公司品番号, 图番 :","弊社品番,図番等："))</f>
        <v>本公司品番号, 图番 :</v>
      </c>
      <c r="S50" s="453"/>
      <c r="T50" s="453"/>
      <c r="U50" s="453"/>
      <c r="V50" s="453"/>
      <c r="W50" s="454"/>
      <c r="X50" s="455"/>
      <c r="Y50" s="455"/>
      <c r="Z50" s="455"/>
      <c r="AA50" s="455"/>
      <c r="AB50" s="455"/>
      <c r="AC50" s="455"/>
      <c r="AD50" s="455"/>
      <c r="AE50" s="455"/>
      <c r="AG50" s="59"/>
    </row>
    <row r="51" spans="1:39" ht="24" customHeight="1">
      <c r="C51" s="438" t="str">
        <f>IF(C12="English","MinebeaMitsumi part name :",IF(C12="中文","美蓓亚三美G 品名:","ﾐﾈﾍﾞｱﾐﾂﾐG品名："))</f>
        <v>美蓓亚三美G 品名:</v>
      </c>
      <c r="D51" s="438"/>
      <c r="E51" s="438"/>
      <c r="F51" s="438"/>
      <c r="G51" s="438"/>
      <c r="H51" s="439"/>
      <c r="I51" s="440"/>
      <c r="J51" s="440"/>
      <c r="K51" s="440"/>
      <c r="L51" s="440"/>
      <c r="M51" s="440"/>
      <c r="N51" s="440"/>
      <c r="O51" s="440"/>
      <c r="P51" s="440"/>
      <c r="Q51" s="3"/>
      <c r="R51" s="438" t="str">
        <f>IF(C12="English","MinebeaMitsumi G part RN :",IF(C12="中文","美蓓亚三美G 品番:","ﾐﾈﾍﾞｱﾐﾂﾐG品番："))</f>
        <v>美蓓亚三美G 品番:</v>
      </c>
      <c r="S51" s="438"/>
      <c r="T51" s="438"/>
      <c r="U51" s="438"/>
      <c r="V51" s="438"/>
      <c r="W51" s="441"/>
      <c r="X51" s="440"/>
      <c r="Y51" s="440"/>
      <c r="Z51" s="440"/>
      <c r="AA51" s="440"/>
      <c r="AB51" s="440"/>
      <c r="AC51" s="440"/>
      <c r="AD51" s="440"/>
      <c r="AE51" s="440"/>
      <c r="AG51" s="83"/>
    </row>
    <row r="52" spans="1:39" ht="24" customHeight="1">
      <c r="C52" s="474" t="str">
        <f>IF(C12="English","MinebeaMitsumi Drawing RN :",IF(C12="中文","美蓓亚三美G 图番","ﾐﾈﾍﾞｱﾐﾂﾐG図番："))</f>
        <v>美蓓亚三美G 图番</v>
      </c>
      <c r="D52" s="474"/>
      <c r="E52" s="474"/>
      <c r="F52" s="474"/>
      <c r="G52" s="474"/>
      <c r="H52" s="439"/>
      <c r="I52" s="440"/>
      <c r="J52" s="440"/>
      <c r="K52" s="440"/>
      <c r="L52" s="440"/>
      <c r="M52" s="440"/>
      <c r="N52" s="440"/>
      <c r="O52" s="440"/>
      <c r="P52" s="440"/>
      <c r="Q52" s="3"/>
      <c r="R52" s="475" t="str">
        <f>IF(C12="English","MinebeaMitsumi Item code :",IF(C12="中文","美蓓亚三美条款编号","ﾐﾈﾍﾞｱﾐﾂﾐGｱｲﾃﾑｺｰﾄﾞ："))</f>
        <v>美蓓亚三美条款编号</v>
      </c>
      <c r="S52" s="474"/>
      <c r="T52" s="474"/>
      <c r="U52" s="474"/>
      <c r="V52" s="474"/>
      <c r="W52" s="441"/>
      <c r="X52" s="440"/>
      <c r="Y52" s="440"/>
      <c r="Z52" s="440"/>
      <c r="AA52" s="440"/>
      <c r="AB52" s="440"/>
      <c r="AC52" s="440"/>
      <c r="AD52" s="440"/>
      <c r="AE52" s="440"/>
      <c r="AG52" s="83"/>
      <c r="AM52" s="14"/>
    </row>
    <row r="53" spans="1:39" ht="10.050000000000001" customHeight="1">
      <c r="D53" s="18"/>
      <c r="E53" s="3"/>
      <c r="F53" s="3"/>
      <c r="G53" s="3"/>
      <c r="H53" s="5"/>
      <c r="I53" s="5"/>
      <c r="J53" s="5"/>
      <c r="K53" s="5"/>
      <c r="L53" s="5"/>
      <c r="M53" s="5"/>
      <c r="N53" s="5"/>
      <c r="O53" s="17"/>
      <c r="P53" s="19"/>
      <c r="Q53" s="7"/>
      <c r="R53" s="7"/>
      <c r="S53" s="5"/>
      <c r="T53" s="5"/>
      <c r="U53" s="5"/>
      <c r="V53" s="5"/>
      <c r="W53" s="5"/>
      <c r="X53" s="5"/>
      <c r="Y53" s="5"/>
      <c r="Z53" s="5"/>
      <c r="AA53" s="5"/>
      <c r="AB53" s="5"/>
    </row>
    <row r="54" spans="1:39" ht="16.05" customHeight="1">
      <c r="B54" s="20"/>
      <c r="C54" s="435"/>
      <c r="D54" s="435"/>
      <c r="E54" s="574" t="str">
        <f>IF(C12="English","Certificate of Non-use list is attached due to the large number of parts being reported on(also Clause 2）",IF(C12="中文","由于部品数量多，附上不使用证明书一览表并报告(包含2项)。","部品が多数のため不使用証明書リストを添付して報告します(2項を含む)。"))</f>
        <v>由于部品数量多，附上不使用证明书一览表并报告(包含2项)。</v>
      </c>
      <c r="F54" s="575"/>
      <c r="G54" s="575"/>
      <c r="H54" s="575"/>
      <c r="I54" s="575"/>
      <c r="J54" s="575"/>
      <c r="K54" s="575"/>
      <c r="L54" s="575"/>
      <c r="M54" s="575"/>
      <c r="N54" s="575"/>
      <c r="O54" s="575"/>
      <c r="P54" s="575"/>
      <c r="Q54" s="575"/>
      <c r="R54" s="575"/>
      <c r="S54" s="575"/>
      <c r="T54" s="575"/>
      <c r="U54" s="575"/>
      <c r="V54" s="575"/>
      <c r="W54" s="575"/>
      <c r="X54" s="575"/>
      <c r="Y54" s="575"/>
      <c r="Z54" s="576"/>
      <c r="AA54" s="576"/>
      <c r="AB54" s="576"/>
      <c r="AC54" s="576"/>
      <c r="AD54" s="576"/>
      <c r="AE54" s="576"/>
      <c r="AH54" s="3"/>
      <c r="AK54" s="3"/>
    </row>
    <row r="55" spans="1:39" ht="10.050000000000001" customHeight="1">
      <c r="D55" s="18"/>
      <c r="E55" s="3"/>
      <c r="F55" s="3"/>
      <c r="G55" s="3"/>
      <c r="H55" s="5"/>
      <c r="I55" s="5"/>
      <c r="J55" s="5"/>
      <c r="K55" s="5"/>
      <c r="L55" s="5"/>
      <c r="M55" s="5"/>
      <c r="N55" s="5"/>
      <c r="O55" s="17"/>
      <c r="P55" s="19"/>
      <c r="Q55" s="7"/>
      <c r="R55" s="7"/>
      <c r="S55" s="5"/>
      <c r="T55" s="5"/>
      <c r="U55" s="5"/>
      <c r="V55" s="5"/>
      <c r="W55" s="5"/>
      <c r="X55" s="5"/>
      <c r="Y55" s="5"/>
      <c r="Z55" s="5"/>
      <c r="AA55" s="5"/>
      <c r="AB55" s="5"/>
    </row>
    <row r="56" spans="1:39" ht="15" customHeight="1">
      <c r="B56" s="20" t="str">
        <f>IF(C12="English","2．RoHS directive Exemptions",IF(C12="中文","2．RoHS指令适用除外用途","2．RoHS指令 適用除外用途"))</f>
        <v>2．RoHS指令适用除外用途</v>
      </c>
      <c r="C56" s="21"/>
      <c r="D56" s="157"/>
      <c r="E56" s="8"/>
      <c r="F56" s="8"/>
      <c r="G56" s="8"/>
      <c r="H56" s="20"/>
      <c r="I56" s="8"/>
      <c r="J56" s="8"/>
      <c r="K56" s="21"/>
      <c r="L56" s="21"/>
      <c r="M56" s="8"/>
      <c r="N56" s="8"/>
      <c r="O56" s="8"/>
      <c r="P56" s="8"/>
      <c r="Q56" s="152"/>
      <c r="R56" s="8"/>
      <c r="S56" s="22"/>
      <c r="T56" s="4"/>
      <c r="U56" s="13"/>
      <c r="V56" s="13"/>
      <c r="W56" s="13"/>
      <c r="X56" s="152"/>
      <c r="Y56" s="21"/>
      <c r="Z56" s="21"/>
      <c r="AA56" s="13"/>
      <c r="AB56" s="13"/>
      <c r="AC56" s="13"/>
      <c r="AD56" s="13"/>
      <c r="AE56" s="4"/>
    </row>
    <row r="57" spans="1:39" ht="16.05" customHeight="1">
      <c r="B57" s="20"/>
      <c r="C57" s="435"/>
      <c r="D57" s="435"/>
      <c r="E57" s="442" t="str">
        <f>IF(C12="English","RoHS directive prohibited substance under the scope of exemptions is not used.",IF(C12="中文","没有符合适用除外的部材","適用除外に該当する部材はありません。"))</f>
        <v>没有符合适用除外的部材</v>
      </c>
      <c r="F57" s="458"/>
      <c r="G57" s="458"/>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K57" s="84"/>
    </row>
    <row r="58" spans="1:39" ht="10.050000000000001" customHeight="1">
      <c r="B58" s="20"/>
      <c r="C58" s="21"/>
      <c r="D58" s="157"/>
      <c r="E58" s="8"/>
      <c r="F58" s="8"/>
      <c r="G58" s="8"/>
      <c r="H58" s="20"/>
      <c r="I58" s="8"/>
      <c r="J58" s="8"/>
      <c r="K58" s="21"/>
      <c r="L58" s="21"/>
      <c r="M58" s="8"/>
      <c r="N58" s="8"/>
      <c r="O58" s="8"/>
      <c r="P58" s="8"/>
      <c r="Q58" s="152"/>
      <c r="R58" s="8"/>
      <c r="S58" s="22"/>
      <c r="T58" s="4"/>
      <c r="U58" s="13"/>
      <c r="V58" s="13"/>
      <c r="W58" s="13"/>
      <c r="X58" s="152"/>
      <c r="Y58" s="21"/>
      <c r="Z58" s="21"/>
      <c r="AA58" s="13"/>
      <c r="AB58" s="13"/>
      <c r="AC58" s="13"/>
      <c r="AD58" s="13"/>
      <c r="AE58" s="4"/>
    </row>
    <row r="59" spans="1:39" ht="16.05" customHeight="1">
      <c r="B59" s="20"/>
      <c r="C59" s="435"/>
      <c r="D59" s="435"/>
      <c r="E59" s="442" t="str">
        <f>IF(C12="English","RoHS directive prohibited substance under the scope of exemption is used.",IF(C12="中文","在符合适用除外用途使用RoHS指令禁止物质","適用除外に該当する用途でRoHS指令禁止物質を使用しています。"))</f>
        <v>在符合适用除外用途使用RoHS指令禁止物质</v>
      </c>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I59" s="84"/>
    </row>
    <row r="60" spans="1:39" ht="10.050000000000001" customHeight="1">
      <c r="B60" s="20"/>
      <c r="C60" s="3"/>
      <c r="D60" s="3"/>
      <c r="E60" s="157"/>
      <c r="F60" s="3"/>
      <c r="G60" s="3"/>
      <c r="H60" s="3"/>
      <c r="I60" s="3"/>
      <c r="J60" s="3"/>
      <c r="K60" s="3"/>
      <c r="L60" s="3"/>
      <c r="M60" s="3"/>
      <c r="N60" s="3"/>
      <c r="O60" s="3"/>
      <c r="P60" s="3"/>
      <c r="Q60" s="3"/>
      <c r="R60" s="3"/>
      <c r="S60" s="3"/>
      <c r="T60" s="3"/>
      <c r="U60" s="3"/>
      <c r="V60" s="3"/>
      <c r="W60" s="3"/>
      <c r="X60" s="3"/>
      <c r="Y60" s="3"/>
      <c r="Z60" s="3"/>
      <c r="AA60" s="3"/>
      <c r="AB60" s="3"/>
      <c r="AC60" s="13"/>
      <c r="AD60" s="13"/>
      <c r="AE60" s="4"/>
      <c r="AI60" s="84"/>
    </row>
    <row r="61" spans="1:39" s="23" customFormat="1">
      <c r="B61" s="24"/>
      <c r="C61" s="432" t="str">
        <f>IF(C12="English","We fill the number of the exemption, the name of the contained substance, CAS RN, and the region below.",IF(C12="中文","记载以下适用除外用途的RN、含有物质名称、CAS RN","以下に適用除外用途のRN、含有する物質名、CAS RN、部位を記載します。"))</f>
        <v>记载以下适用除外用途的RN、含有物质名称、CAS RN</v>
      </c>
      <c r="D61" s="433"/>
      <c r="E61" s="433"/>
      <c r="F61" s="433"/>
      <c r="G61" s="433"/>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3"/>
      <c r="AG61" s="85"/>
      <c r="AH61" s="129"/>
      <c r="AJ61" s="153"/>
    </row>
    <row r="62" spans="1:39" s="23" customFormat="1">
      <c r="B62" s="24"/>
      <c r="C62" s="432" t="str">
        <f>IF(C12="English","※Refer to the following for exemptions ",IF(C12="中文","※适用除外参照处","※適用除外参照先"))</f>
        <v>※适用除外参照处</v>
      </c>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G62" s="85"/>
      <c r="AH62" s="129"/>
      <c r="AJ62" s="153"/>
    </row>
    <row r="63" spans="1:39" s="23" customFormat="1">
      <c r="B63" s="24"/>
      <c r="C63" s="572" t="s">
        <v>28</v>
      </c>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G63" s="85"/>
      <c r="AH63" s="129"/>
      <c r="AJ63" s="153"/>
    </row>
    <row r="64" spans="1:39" s="23" customFormat="1" ht="16.05" customHeight="1">
      <c r="B64" s="24"/>
      <c r="C64" s="25"/>
      <c r="D64" s="462" t="str">
        <f>IF(C12="English","Exempt No.",IF(C12="中文","适用除外No.:","適用除外No. "))</f>
        <v>适用除外No.:</v>
      </c>
      <c r="E64" s="463"/>
      <c r="F64" s="463"/>
      <c r="G64" s="463"/>
      <c r="H64" s="464"/>
      <c r="I64" s="462" t="str">
        <f>IF(C12="English","Substance name",IF(C12="中文","物质名称","物質名"))</f>
        <v>物质名称</v>
      </c>
      <c r="J64" s="463"/>
      <c r="K64" s="463"/>
      <c r="L64" s="463"/>
      <c r="M64" s="463"/>
      <c r="N64" s="463"/>
      <c r="O64" s="463"/>
      <c r="P64" s="463"/>
      <c r="Q64" s="464"/>
      <c r="R64" s="462" t="str">
        <f>IF(C12="English","CAS RN ",IF(C12="中文","CAS RN ","CAS RN "))</f>
        <v xml:space="preserve">CAS RN </v>
      </c>
      <c r="S64" s="463"/>
      <c r="T64" s="463"/>
      <c r="U64" s="463"/>
      <c r="V64" s="463"/>
      <c r="W64" s="463"/>
      <c r="X64" s="464"/>
      <c r="Y64" s="462" t="str">
        <f>IF(C12="English","Region",IF(C12="中文","部位","部位"))</f>
        <v>部位</v>
      </c>
      <c r="Z64" s="463"/>
      <c r="AA64" s="463"/>
      <c r="AB64" s="463"/>
      <c r="AC64" s="463"/>
      <c r="AD64" s="463"/>
      <c r="AE64" s="464"/>
      <c r="AG64" s="85"/>
      <c r="AH64" s="129"/>
      <c r="AL64" s="26"/>
    </row>
    <row r="65" spans="1:37" s="23" customFormat="1" ht="20.100000000000001" customHeight="1">
      <c r="B65" s="24"/>
      <c r="C65" s="27">
        <v>1</v>
      </c>
      <c r="D65" s="461"/>
      <c r="E65" s="461"/>
      <c r="F65" s="461"/>
      <c r="G65" s="461"/>
      <c r="H65" s="461"/>
      <c r="I65" s="461"/>
      <c r="J65" s="461"/>
      <c r="K65" s="461"/>
      <c r="L65" s="461"/>
      <c r="M65" s="461"/>
      <c r="N65" s="461"/>
      <c r="O65" s="461"/>
      <c r="P65" s="461"/>
      <c r="Q65" s="461"/>
      <c r="R65" s="408"/>
      <c r="S65" s="409"/>
      <c r="T65" s="409"/>
      <c r="U65" s="409"/>
      <c r="V65" s="409"/>
      <c r="W65" s="409"/>
      <c r="X65" s="410"/>
      <c r="Y65" s="408"/>
      <c r="Z65" s="409"/>
      <c r="AA65" s="409"/>
      <c r="AB65" s="409"/>
      <c r="AC65" s="409"/>
      <c r="AD65" s="409"/>
      <c r="AE65" s="410"/>
      <c r="AG65" s="85"/>
      <c r="AH65" s="129"/>
    </row>
    <row r="66" spans="1:37" s="23" customFormat="1" ht="20.100000000000001" customHeight="1">
      <c r="B66" s="24"/>
      <c r="C66" s="27">
        <v>2</v>
      </c>
      <c r="D66" s="461"/>
      <c r="E66" s="461"/>
      <c r="F66" s="461"/>
      <c r="G66" s="461"/>
      <c r="H66" s="461"/>
      <c r="I66" s="461"/>
      <c r="J66" s="461"/>
      <c r="K66" s="461"/>
      <c r="L66" s="461"/>
      <c r="M66" s="461"/>
      <c r="N66" s="461"/>
      <c r="O66" s="461"/>
      <c r="P66" s="461"/>
      <c r="Q66" s="461"/>
      <c r="R66" s="408"/>
      <c r="S66" s="409"/>
      <c r="T66" s="409"/>
      <c r="U66" s="409"/>
      <c r="V66" s="409"/>
      <c r="W66" s="409"/>
      <c r="X66" s="410"/>
      <c r="Y66" s="408"/>
      <c r="Z66" s="409"/>
      <c r="AA66" s="409"/>
      <c r="AB66" s="409"/>
      <c r="AC66" s="409"/>
      <c r="AD66" s="409"/>
      <c r="AE66" s="410"/>
      <c r="AG66" s="85"/>
      <c r="AH66" s="129"/>
    </row>
    <row r="67" spans="1:37" s="23" customFormat="1" ht="20.100000000000001" customHeight="1">
      <c r="B67" s="24"/>
      <c r="C67" s="27">
        <v>3</v>
      </c>
      <c r="D67" s="461"/>
      <c r="E67" s="461"/>
      <c r="F67" s="461"/>
      <c r="G67" s="461"/>
      <c r="H67" s="461"/>
      <c r="I67" s="461"/>
      <c r="J67" s="461"/>
      <c r="K67" s="461"/>
      <c r="L67" s="461"/>
      <c r="M67" s="461"/>
      <c r="N67" s="461"/>
      <c r="O67" s="461"/>
      <c r="P67" s="461"/>
      <c r="Q67" s="461"/>
      <c r="R67" s="408"/>
      <c r="S67" s="409"/>
      <c r="T67" s="409"/>
      <c r="U67" s="409"/>
      <c r="V67" s="409"/>
      <c r="W67" s="409"/>
      <c r="X67" s="410"/>
      <c r="Y67" s="408"/>
      <c r="Z67" s="409"/>
      <c r="AA67" s="409"/>
      <c r="AB67" s="409"/>
      <c r="AC67" s="409"/>
      <c r="AD67" s="409"/>
      <c r="AE67" s="410"/>
      <c r="AG67" s="85"/>
      <c r="AH67" s="129"/>
    </row>
    <row r="68" spans="1:37" s="23" customFormat="1" ht="20.100000000000001" customHeight="1">
      <c r="B68" s="24"/>
      <c r="C68" s="27">
        <v>4</v>
      </c>
      <c r="D68" s="461"/>
      <c r="E68" s="461"/>
      <c r="F68" s="461"/>
      <c r="G68" s="461"/>
      <c r="H68" s="461"/>
      <c r="I68" s="461"/>
      <c r="J68" s="461"/>
      <c r="K68" s="461"/>
      <c r="L68" s="461"/>
      <c r="M68" s="461"/>
      <c r="N68" s="461"/>
      <c r="O68" s="461"/>
      <c r="P68" s="461"/>
      <c r="Q68" s="461"/>
      <c r="R68" s="408"/>
      <c r="S68" s="409"/>
      <c r="T68" s="409"/>
      <c r="U68" s="409"/>
      <c r="V68" s="409"/>
      <c r="W68" s="409"/>
      <c r="X68" s="410"/>
      <c r="Y68" s="408"/>
      <c r="Z68" s="409"/>
      <c r="AA68" s="409"/>
      <c r="AB68" s="409"/>
      <c r="AC68" s="409"/>
      <c r="AD68" s="409"/>
      <c r="AE68" s="410"/>
      <c r="AG68" s="85"/>
      <c r="AH68" s="129"/>
    </row>
    <row r="69" spans="1:37" s="23" customFormat="1" ht="20.100000000000001" customHeight="1">
      <c r="B69" s="24"/>
      <c r="C69" s="27">
        <v>5</v>
      </c>
      <c r="D69" s="408"/>
      <c r="E69" s="409"/>
      <c r="F69" s="409"/>
      <c r="G69" s="409"/>
      <c r="H69" s="410"/>
      <c r="I69" s="408"/>
      <c r="J69" s="409"/>
      <c r="K69" s="409"/>
      <c r="L69" s="409"/>
      <c r="M69" s="409"/>
      <c r="N69" s="409"/>
      <c r="O69" s="409"/>
      <c r="P69" s="409"/>
      <c r="Q69" s="410"/>
      <c r="R69" s="408"/>
      <c r="S69" s="409"/>
      <c r="T69" s="409"/>
      <c r="U69" s="409"/>
      <c r="V69" s="409"/>
      <c r="W69" s="409"/>
      <c r="X69" s="410"/>
      <c r="Y69" s="408"/>
      <c r="Z69" s="409"/>
      <c r="AA69" s="409"/>
      <c r="AB69" s="409"/>
      <c r="AC69" s="409"/>
      <c r="AD69" s="409"/>
      <c r="AE69" s="410"/>
      <c r="AG69" s="85"/>
      <c r="AH69" s="129"/>
    </row>
    <row r="70" spans="1:37" s="23" customFormat="1" ht="9.75" customHeight="1">
      <c r="B70" s="28"/>
      <c r="C70" s="28"/>
      <c r="D70" s="28"/>
      <c r="E70" s="28"/>
      <c r="F70" s="28"/>
      <c r="G70" s="28"/>
      <c r="H70" s="28"/>
      <c r="I70" s="28"/>
      <c r="J70" s="28"/>
      <c r="K70" s="28"/>
      <c r="L70" s="28"/>
      <c r="M70" s="28"/>
      <c r="N70" s="28"/>
      <c r="O70" s="29"/>
      <c r="P70" s="28"/>
      <c r="Q70" s="28"/>
      <c r="R70" s="28"/>
      <c r="S70" s="28"/>
      <c r="AG70" s="85"/>
      <c r="AH70" s="129"/>
    </row>
    <row r="71" spans="1:37" ht="13.5" customHeight="1">
      <c r="B71" s="30"/>
      <c r="C71" s="197"/>
      <c r="D71" s="31"/>
      <c r="E71" s="31"/>
      <c r="F71" s="31"/>
      <c r="G71" s="31"/>
      <c r="H71" s="31"/>
      <c r="I71" s="31"/>
      <c r="J71" s="31"/>
      <c r="K71" s="31"/>
      <c r="L71" s="31"/>
      <c r="M71" s="31"/>
      <c r="N71" s="31"/>
      <c r="O71" s="31"/>
      <c r="P71" s="31"/>
      <c r="Q71" s="157"/>
      <c r="R71" s="157"/>
      <c r="S71" s="32"/>
      <c r="T71" s="157"/>
      <c r="U71" s="157"/>
      <c r="V71" s="157"/>
      <c r="W71" s="157"/>
      <c r="X71" s="157"/>
      <c r="Y71" s="157"/>
      <c r="Z71" s="399" t="str">
        <f>'Certificate of Non-use'!Z71:AE71</f>
        <v>Form：F-0045-14</v>
      </c>
      <c r="AA71" s="399"/>
      <c r="AB71" s="399"/>
      <c r="AC71" s="399"/>
      <c r="AD71" s="399"/>
      <c r="AE71" s="399"/>
      <c r="AH71" s="3"/>
      <c r="AI71" s="3"/>
      <c r="AJ71" s="3"/>
      <c r="AK71" s="3"/>
    </row>
    <row r="72" spans="1:37" ht="13.5" customHeight="1">
      <c r="B72" s="30"/>
      <c r="C72" s="197"/>
      <c r="D72" s="31"/>
      <c r="E72" s="31"/>
      <c r="F72" s="31"/>
      <c r="G72" s="31"/>
      <c r="H72" s="31"/>
      <c r="I72" s="31"/>
      <c r="J72" s="31"/>
      <c r="K72" s="31"/>
      <c r="L72" s="31"/>
      <c r="M72" s="31"/>
      <c r="N72" s="31"/>
      <c r="O72" s="31"/>
      <c r="P72" s="31"/>
      <c r="Q72" s="157"/>
      <c r="R72" s="157"/>
      <c r="S72" s="32"/>
      <c r="T72" s="157"/>
      <c r="U72" s="157"/>
      <c r="V72" s="157"/>
      <c r="W72" s="157"/>
      <c r="X72" s="157"/>
      <c r="Y72" s="157"/>
      <c r="Z72" s="33"/>
      <c r="AA72" s="33"/>
      <c r="AB72" s="33"/>
      <c r="AC72" s="33"/>
      <c r="AD72" s="33"/>
      <c r="AE72" s="33"/>
      <c r="AH72" s="3"/>
      <c r="AI72" s="3"/>
      <c r="AJ72" s="3"/>
      <c r="AK72" s="3"/>
    </row>
    <row r="73" spans="1:37" ht="20.100000000000001" customHeight="1">
      <c r="A73" s="17"/>
      <c r="B73" s="42" t="str">
        <f>IF(C12="English","Prohibited substances",IF(C12="中文","禁用物质","禁止物質"))</f>
        <v>禁用物质</v>
      </c>
      <c r="C73" s="17"/>
      <c r="D73" s="35"/>
      <c r="E73" s="17"/>
      <c r="F73" s="17"/>
    </row>
    <row r="74" spans="1:37" ht="15" customHeight="1">
      <c r="B74" s="83"/>
      <c r="C74" s="83" t="str">
        <f>IF(C12="English","Please enter ○ in the check column in the case of conformity, .",IF(C12="中文","符合时请在确认栏填写〇。","＊適合の場合はチェック欄に○を記入ください。"))</f>
        <v>符合时请在确认栏填写〇。</v>
      </c>
      <c r="D74" s="83"/>
      <c r="E74" s="83"/>
      <c r="F74" s="83"/>
      <c r="G74" s="83"/>
      <c r="H74" s="83"/>
      <c r="I74" s="83"/>
      <c r="J74" s="83"/>
      <c r="K74" s="83"/>
      <c r="L74" s="83"/>
      <c r="M74" s="83"/>
      <c r="N74" s="36"/>
      <c r="O74" s="157"/>
      <c r="P74" s="157"/>
      <c r="V74" s="123"/>
      <c r="W74" s="198"/>
      <c r="X74" s="198"/>
      <c r="Y74" s="198"/>
      <c r="Z74" s="198"/>
      <c r="AA74" s="198"/>
      <c r="AB74" s="198"/>
      <c r="AC74" s="198"/>
      <c r="AD74" s="198"/>
      <c r="AE74" s="198"/>
    </row>
    <row r="75" spans="1:37" ht="30" customHeight="1">
      <c r="B75" s="83"/>
      <c r="C75" s="159" t="s">
        <v>42</v>
      </c>
      <c r="D75" s="592" t="str">
        <f>IF(C12="English","Chemical substances",IF(C12="中文","物　质  名","物  質  名"))</f>
        <v>物　质  名</v>
      </c>
      <c r="E75" s="593"/>
      <c r="F75" s="593"/>
      <c r="G75" s="593"/>
      <c r="H75" s="593"/>
      <c r="I75" s="593"/>
      <c r="J75" s="593"/>
      <c r="K75" s="593"/>
      <c r="L75" s="593"/>
      <c r="M75" s="593"/>
      <c r="N75" s="593"/>
      <c r="O75" s="593"/>
      <c r="P75" s="593"/>
      <c r="Q75" s="594" t="str">
        <f>IF(C12="English","Objects of Regulations",IF(C12="中文","限制对象","規制対象"))</f>
        <v>限制对象</v>
      </c>
      <c r="R75" s="595"/>
      <c r="S75" s="595"/>
      <c r="T75" s="595"/>
      <c r="U75" s="595"/>
      <c r="V75" s="595"/>
      <c r="W75" s="595"/>
      <c r="X75" s="592" t="str">
        <f>IF(C12="English","Regulation value   (ppm)",IF(C12="中文","限制值(ppm)","規制値(ppm)"))</f>
        <v>限制值(ppm)</v>
      </c>
      <c r="Y75" s="593"/>
      <c r="Z75" s="593"/>
      <c r="AA75" s="593"/>
      <c r="AB75" s="593"/>
      <c r="AC75" s="594" t="str">
        <f>IF(C12="English","Check",IF(C12="中文","检查栏","チェック欄"))</f>
        <v>检查栏</v>
      </c>
      <c r="AD75" s="594"/>
      <c r="AE75" s="595"/>
    </row>
    <row r="76" spans="1:37" ht="15" customHeight="1">
      <c r="B76" s="84"/>
      <c r="C76" s="602">
        <v>1</v>
      </c>
      <c r="D76" s="609" t="str">
        <f>IF(C12="English","Cadmium and its compounds",IF(C12="中文"," 镉及其化合物","カドミウムおよびその化合物"))</f>
        <v xml:space="preserve"> 镉及其化合物</v>
      </c>
      <c r="E76" s="593"/>
      <c r="F76" s="593"/>
      <c r="G76" s="593"/>
      <c r="H76" s="593"/>
      <c r="I76" s="593"/>
      <c r="J76" s="593"/>
      <c r="K76" s="593"/>
      <c r="L76" s="593"/>
      <c r="M76" s="593"/>
      <c r="N76" s="593"/>
      <c r="O76" s="593"/>
      <c r="P76" s="593"/>
      <c r="Q76" s="526" t="str">
        <f>IF(C12="English","All uses (except for the exemption)  
Details refer to Attachment:I Prohibited substances",IF(C12="中文","所有用途（除去适用除外）
限制物质的详细请参照附属书I禁止物质一览","全ての用途（適用除外を除く）
規制対象の詳細は、附属書Ⅰ禁止物質リストを参照下さい"))</f>
        <v>所有用途（除去适用除外）
限制物质的详细请参照附属书I禁止物质一览</v>
      </c>
      <c r="R76" s="610"/>
      <c r="S76" s="610"/>
      <c r="T76" s="610"/>
      <c r="U76" s="610"/>
      <c r="V76" s="610"/>
      <c r="W76" s="611"/>
      <c r="X76" s="609"/>
      <c r="Y76" s="593"/>
      <c r="Z76" s="593"/>
      <c r="AA76" s="593"/>
      <c r="AB76" s="593"/>
      <c r="AC76" s="577"/>
      <c r="AD76" s="578"/>
      <c r="AE76" s="579"/>
    </row>
    <row r="77" spans="1:37" ht="15" customHeight="1">
      <c r="B77" s="17"/>
      <c r="C77" s="603"/>
      <c r="D77" s="550" t="str">
        <f>IF(C12="English","Plastic, ink, grease, adhesives, etc.",IF(C12="中文","树脂,油墨,润滑油脂,胶合剂等","プラスチック,インキ,グリス,接着剤など"))</f>
        <v>树脂,油墨,润滑油脂,胶合剂等</v>
      </c>
      <c r="E77" s="551"/>
      <c r="F77" s="551"/>
      <c r="G77" s="551"/>
      <c r="H77" s="551"/>
      <c r="I77" s="551"/>
      <c r="J77" s="551"/>
      <c r="K77" s="551"/>
      <c r="L77" s="551"/>
      <c r="M77" s="551"/>
      <c r="N77" s="551"/>
      <c r="O77" s="551"/>
      <c r="P77" s="552"/>
      <c r="Q77" s="612"/>
      <c r="R77" s="494"/>
      <c r="S77" s="494"/>
      <c r="T77" s="494"/>
      <c r="U77" s="494"/>
      <c r="V77" s="494"/>
      <c r="W77" s="613"/>
      <c r="X77" s="586">
        <v>5</v>
      </c>
      <c r="Y77" s="587"/>
      <c r="Z77" s="587"/>
      <c r="AA77" s="587"/>
      <c r="AB77" s="588"/>
      <c r="AC77" s="580"/>
      <c r="AD77" s="581"/>
      <c r="AE77" s="582"/>
    </row>
    <row r="78" spans="1:37" ht="15" customHeight="1">
      <c r="A78" s="4"/>
      <c r="B78" s="17"/>
      <c r="C78" s="603"/>
      <c r="D78" s="503" t="str">
        <f>IF(C12="English","Solder",IF(C12="中文","焊料","はんだ"))</f>
        <v>焊料</v>
      </c>
      <c r="E78" s="504"/>
      <c r="F78" s="504"/>
      <c r="G78" s="504"/>
      <c r="H78" s="504"/>
      <c r="I78" s="504"/>
      <c r="J78" s="504"/>
      <c r="K78" s="504"/>
      <c r="L78" s="504"/>
      <c r="M78" s="504"/>
      <c r="N78" s="504"/>
      <c r="O78" s="504"/>
      <c r="P78" s="505"/>
      <c r="Q78" s="612"/>
      <c r="R78" s="494"/>
      <c r="S78" s="494"/>
      <c r="T78" s="494"/>
      <c r="U78" s="494"/>
      <c r="V78" s="494"/>
      <c r="W78" s="613"/>
      <c r="X78" s="589">
        <v>20</v>
      </c>
      <c r="Y78" s="590"/>
      <c r="Z78" s="590"/>
      <c r="AA78" s="590"/>
      <c r="AB78" s="591"/>
      <c r="AC78" s="580"/>
      <c r="AD78" s="581"/>
      <c r="AE78" s="582"/>
    </row>
    <row r="79" spans="1:37" ht="15" customHeight="1">
      <c r="C79" s="603"/>
      <c r="D79" s="509" t="str">
        <f>IF(C12="English","Other applications",IF(C12="中文","其他用途","その他の用途"))</f>
        <v>其他用途</v>
      </c>
      <c r="E79" s="510"/>
      <c r="F79" s="510"/>
      <c r="G79" s="510"/>
      <c r="H79" s="510"/>
      <c r="I79" s="510"/>
      <c r="J79" s="510"/>
      <c r="K79" s="510"/>
      <c r="L79" s="510"/>
      <c r="M79" s="510"/>
      <c r="N79" s="510"/>
      <c r="O79" s="510"/>
      <c r="P79" s="511"/>
      <c r="Q79" s="612"/>
      <c r="R79" s="494"/>
      <c r="S79" s="494"/>
      <c r="T79" s="494"/>
      <c r="U79" s="494"/>
      <c r="V79" s="494"/>
      <c r="W79" s="613"/>
      <c r="X79" s="596">
        <v>75</v>
      </c>
      <c r="Y79" s="597"/>
      <c r="Z79" s="597"/>
      <c r="AA79" s="597"/>
      <c r="AB79" s="598"/>
      <c r="AC79" s="580"/>
      <c r="AD79" s="581"/>
      <c r="AE79" s="582"/>
    </row>
    <row r="80" spans="1:37" ht="15" customHeight="1">
      <c r="C80" s="608"/>
      <c r="D80" s="509" t="str">
        <f>IF(C12="English","Battery",IF(C12="中文","电池","電池"))</f>
        <v>电池</v>
      </c>
      <c r="E80" s="510"/>
      <c r="F80" s="510"/>
      <c r="G80" s="510"/>
      <c r="H80" s="510"/>
      <c r="I80" s="510"/>
      <c r="J80" s="510"/>
      <c r="K80" s="510"/>
      <c r="L80" s="510"/>
      <c r="M80" s="510"/>
      <c r="N80" s="510"/>
      <c r="O80" s="510"/>
      <c r="P80" s="511"/>
      <c r="Q80" s="612"/>
      <c r="R80" s="494"/>
      <c r="S80" s="494"/>
      <c r="T80" s="494"/>
      <c r="U80" s="494"/>
      <c r="V80" s="494"/>
      <c r="W80" s="613"/>
      <c r="X80" s="599" t="str">
        <f>IF(C12="English","20 with Battery as a denominator",IF(C12="中文"," 20 电池作为分母","電池を分母として20"))</f>
        <v xml:space="preserve"> 20 电池作为分母</v>
      </c>
      <c r="Y80" s="600"/>
      <c r="Z80" s="600"/>
      <c r="AA80" s="600"/>
      <c r="AB80" s="601"/>
      <c r="AC80" s="583"/>
      <c r="AD80" s="584"/>
      <c r="AE80" s="585"/>
    </row>
    <row r="81" spans="1:31" ht="15" customHeight="1">
      <c r="A81" s="15"/>
      <c r="B81" s="3"/>
      <c r="C81" s="602">
        <v>2</v>
      </c>
      <c r="D81" s="523" t="str">
        <f>IF(C12="English","Lead and its compounds",IF(C12="中文","铅及其化合物","鉛およびその化合物"))</f>
        <v>铅及其化合物</v>
      </c>
      <c r="E81" s="524"/>
      <c r="F81" s="524"/>
      <c r="G81" s="524"/>
      <c r="H81" s="524"/>
      <c r="I81" s="524"/>
      <c r="J81" s="524"/>
      <c r="K81" s="524"/>
      <c r="L81" s="524"/>
      <c r="M81" s="524"/>
      <c r="N81" s="524"/>
      <c r="O81" s="524"/>
      <c r="P81" s="525"/>
      <c r="Q81" s="612"/>
      <c r="R81" s="494"/>
      <c r="S81" s="494"/>
      <c r="T81" s="494"/>
      <c r="U81" s="494"/>
      <c r="V81" s="494"/>
      <c r="W81" s="613"/>
      <c r="X81" s="605"/>
      <c r="Y81" s="606"/>
      <c r="Z81" s="606"/>
      <c r="AA81" s="606"/>
      <c r="AB81" s="607"/>
      <c r="AC81" s="577"/>
      <c r="AD81" s="578"/>
      <c r="AE81" s="615"/>
    </row>
    <row r="82" spans="1:31" ht="15" customHeight="1">
      <c r="B82" s="3"/>
      <c r="C82" s="603"/>
      <c r="D82" s="550" t="str">
        <f>IF(C12="English","Plastic, ink, grease, adhesives, etc.",IF(C12="中文","树脂,油墨,润滑油脂,胶合剂等","プラスチック,インキ,グリス,接着剤など"))</f>
        <v>树脂,油墨,润滑油脂,胶合剂等</v>
      </c>
      <c r="E82" s="551"/>
      <c r="F82" s="551"/>
      <c r="G82" s="551"/>
      <c r="H82" s="551"/>
      <c r="I82" s="551"/>
      <c r="J82" s="551"/>
      <c r="K82" s="551"/>
      <c r="L82" s="551"/>
      <c r="M82" s="551"/>
      <c r="N82" s="551"/>
      <c r="O82" s="551"/>
      <c r="P82" s="552"/>
      <c r="Q82" s="612"/>
      <c r="R82" s="494"/>
      <c r="S82" s="494"/>
      <c r="T82" s="494"/>
      <c r="U82" s="494"/>
      <c r="V82" s="494"/>
      <c r="W82" s="613"/>
      <c r="X82" s="586">
        <v>100</v>
      </c>
      <c r="Y82" s="587"/>
      <c r="Z82" s="587"/>
      <c r="AA82" s="587"/>
      <c r="AB82" s="588"/>
      <c r="AC82" s="580"/>
      <c r="AD82" s="581"/>
      <c r="AE82" s="626"/>
    </row>
    <row r="83" spans="1:31" ht="15" customHeight="1">
      <c r="C83" s="603"/>
      <c r="D83" s="503" t="str">
        <f>IF(C12="English","Lead-free solder",IF(C12="中文","无铅焊料","鉛ﾌﾘｰはんだ"))</f>
        <v>无铅焊料</v>
      </c>
      <c r="E83" s="504"/>
      <c r="F83" s="504"/>
      <c r="G83" s="504"/>
      <c r="H83" s="504"/>
      <c r="I83" s="504"/>
      <c r="J83" s="504"/>
      <c r="K83" s="504"/>
      <c r="L83" s="504"/>
      <c r="M83" s="504"/>
      <c r="N83" s="504"/>
      <c r="O83" s="504"/>
      <c r="P83" s="505"/>
      <c r="Q83" s="612"/>
      <c r="R83" s="494"/>
      <c r="S83" s="494"/>
      <c r="T83" s="494"/>
      <c r="U83" s="494"/>
      <c r="V83" s="494"/>
      <c r="W83" s="613"/>
      <c r="X83" s="589">
        <v>500</v>
      </c>
      <c r="Y83" s="590"/>
      <c r="Z83" s="590"/>
      <c r="AA83" s="590"/>
      <c r="AB83" s="591"/>
      <c r="AC83" s="580"/>
      <c r="AD83" s="581"/>
      <c r="AE83" s="626"/>
    </row>
    <row r="84" spans="1:31" ht="15" customHeight="1">
      <c r="C84" s="604"/>
      <c r="D84" s="509" t="str">
        <f>IF(C12="English","Other applications",IF(C12="中文","其他用途","その他の用途"))</f>
        <v>其他用途</v>
      </c>
      <c r="E84" s="510"/>
      <c r="F84" s="510"/>
      <c r="G84" s="510"/>
      <c r="H84" s="510"/>
      <c r="I84" s="510"/>
      <c r="J84" s="510"/>
      <c r="K84" s="510"/>
      <c r="L84" s="510"/>
      <c r="M84" s="510"/>
      <c r="N84" s="510"/>
      <c r="O84" s="510"/>
      <c r="P84" s="511"/>
      <c r="Q84" s="612"/>
      <c r="R84" s="494"/>
      <c r="S84" s="494"/>
      <c r="T84" s="494"/>
      <c r="U84" s="494"/>
      <c r="V84" s="494"/>
      <c r="W84" s="613"/>
      <c r="X84" s="623">
        <v>1000</v>
      </c>
      <c r="Y84" s="624"/>
      <c r="Z84" s="624"/>
      <c r="AA84" s="624"/>
      <c r="AB84" s="625"/>
      <c r="AC84" s="627"/>
      <c r="AD84" s="628"/>
      <c r="AE84" s="629"/>
    </row>
    <row r="85" spans="1:31" ht="15" customHeight="1">
      <c r="C85" s="154">
        <v>3</v>
      </c>
      <c r="D85" s="523" t="str">
        <f>IF(C12="English","Hexavalent chromium compounds",IF(C12="中文","六价铬化合物","六価クロム化合物"))</f>
        <v>六价铬化合物</v>
      </c>
      <c r="E85" s="524"/>
      <c r="F85" s="524"/>
      <c r="G85" s="524"/>
      <c r="H85" s="524"/>
      <c r="I85" s="524"/>
      <c r="J85" s="524"/>
      <c r="K85" s="524"/>
      <c r="L85" s="524"/>
      <c r="M85" s="524"/>
      <c r="N85" s="524"/>
      <c r="O85" s="524"/>
      <c r="P85" s="525"/>
      <c r="Q85" s="612"/>
      <c r="R85" s="494"/>
      <c r="S85" s="494"/>
      <c r="T85" s="494"/>
      <c r="U85" s="494"/>
      <c r="V85" s="494"/>
      <c r="W85" s="613"/>
      <c r="X85" s="630">
        <v>1000</v>
      </c>
      <c r="Y85" s="631"/>
      <c r="Z85" s="631"/>
      <c r="AA85" s="631"/>
      <c r="AB85" s="632"/>
      <c r="AC85" s="506"/>
      <c r="AD85" s="507"/>
      <c r="AE85" s="508"/>
    </row>
    <row r="86" spans="1:31" ht="15" customHeight="1">
      <c r="C86" s="602">
        <v>4</v>
      </c>
      <c r="D86" s="523" t="str">
        <f>IF(C12="English","Mercury and its compounds",IF(C12="中文","汞极其化合物","水銀およびその化合物"))</f>
        <v>汞极其化合物</v>
      </c>
      <c r="E86" s="524"/>
      <c r="F86" s="524"/>
      <c r="G86" s="524"/>
      <c r="H86" s="524"/>
      <c r="I86" s="524"/>
      <c r="J86" s="524"/>
      <c r="K86" s="524"/>
      <c r="L86" s="524"/>
      <c r="M86" s="524"/>
      <c r="N86" s="524"/>
      <c r="O86" s="524"/>
      <c r="P86" s="525"/>
      <c r="Q86" s="612"/>
      <c r="R86" s="494"/>
      <c r="S86" s="494"/>
      <c r="T86" s="494"/>
      <c r="U86" s="494"/>
      <c r="V86" s="494"/>
      <c r="W86" s="613"/>
      <c r="X86" s="605"/>
      <c r="Y86" s="606"/>
      <c r="Z86" s="606"/>
      <c r="AA86" s="606"/>
      <c r="AB86" s="607"/>
      <c r="AC86" s="577"/>
      <c r="AD86" s="578"/>
      <c r="AE86" s="615"/>
    </row>
    <row r="87" spans="1:31" ht="45" customHeight="1">
      <c r="C87" s="614"/>
      <c r="D87" s="509" t="str">
        <f>IF(C12="English","All uses for not batteries",IF(C12="中文","电池以外所有用途","電池を除く、全ての用途"))</f>
        <v>电池以外所有用途</v>
      </c>
      <c r="E87" s="510"/>
      <c r="F87" s="510"/>
      <c r="G87" s="510"/>
      <c r="H87" s="510"/>
      <c r="I87" s="510"/>
      <c r="J87" s="510"/>
      <c r="K87" s="510"/>
      <c r="L87" s="510"/>
      <c r="M87" s="510"/>
      <c r="N87" s="510"/>
      <c r="O87" s="510"/>
      <c r="P87" s="511"/>
      <c r="Q87" s="612"/>
      <c r="R87" s="494"/>
      <c r="S87" s="494"/>
      <c r="T87" s="494"/>
      <c r="U87" s="494"/>
      <c r="V87" s="494"/>
      <c r="W87" s="613"/>
      <c r="X87" s="623" t="str">
        <f>IF(C12="English","Intentionally added or 1,000",IF(C12="中文","禁止有意添加
且　1,000","意図的添加禁止
且つ 1,000"))</f>
        <v>禁止有意添加
且　1,000</v>
      </c>
      <c r="Y87" s="624"/>
      <c r="Z87" s="624"/>
      <c r="AA87" s="624"/>
      <c r="AB87" s="625"/>
      <c r="AC87" s="616"/>
      <c r="AD87" s="617"/>
      <c r="AE87" s="618"/>
    </row>
    <row r="88" spans="1:31" ht="15" customHeight="1">
      <c r="C88" s="608"/>
      <c r="D88" s="509" t="str">
        <f>IF(C12="English","Other applications",IF(C12="中文","电池","電池"))</f>
        <v>电池</v>
      </c>
      <c r="E88" s="510"/>
      <c r="F88" s="510"/>
      <c r="G88" s="510"/>
      <c r="H88" s="510"/>
      <c r="I88" s="510"/>
      <c r="J88" s="510"/>
      <c r="K88" s="510"/>
      <c r="L88" s="510"/>
      <c r="M88" s="510"/>
      <c r="N88" s="510"/>
      <c r="O88" s="510"/>
      <c r="P88" s="511"/>
      <c r="Q88" s="612"/>
      <c r="R88" s="494"/>
      <c r="S88" s="494"/>
      <c r="T88" s="494"/>
      <c r="U88" s="494"/>
      <c r="V88" s="494"/>
      <c r="W88" s="613"/>
      <c r="X88" s="623" t="str">
        <f>IF(C12="English","5 with Battery as a denominator",IF(C12="中文"," 5 电池作为分母","電池を分母として5"))</f>
        <v xml:space="preserve"> 5 电池作为分母</v>
      </c>
      <c r="Y88" s="624"/>
      <c r="Z88" s="624"/>
      <c r="AA88" s="624"/>
      <c r="AB88" s="625"/>
      <c r="AC88" s="616"/>
      <c r="AD88" s="619"/>
      <c r="AE88" s="618"/>
    </row>
    <row r="89" spans="1:31" ht="15" customHeight="1">
      <c r="C89" s="154">
        <v>5</v>
      </c>
      <c r="D89" s="523" t="str">
        <f>IF(C12="English","Polybrominated  biphenyls (PBB)",IF(C12="中文","PBB；聚溴联苯","PBB；ポリ臭化ビフェニル"))</f>
        <v>PBB；聚溴联苯</v>
      </c>
      <c r="E89" s="524"/>
      <c r="F89" s="524"/>
      <c r="G89" s="524"/>
      <c r="H89" s="524"/>
      <c r="I89" s="524"/>
      <c r="J89" s="524"/>
      <c r="K89" s="524"/>
      <c r="L89" s="524"/>
      <c r="M89" s="524"/>
      <c r="N89" s="524"/>
      <c r="O89" s="524"/>
      <c r="P89" s="525"/>
      <c r="Q89" s="583"/>
      <c r="R89" s="584"/>
      <c r="S89" s="584"/>
      <c r="T89" s="584"/>
      <c r="U89" s="584"/>
      <c r="V89" s="584"/>
      <c r="W89" s="585"/>
      <c r="X89" s="630">
        <v>1000</v>
      </c>
      <c r="Y89" s="631"/>
      <c r="Z89" s="631"/>
      <c r="AA89" s="631"/>
      <c r="AB89" s="632"/>
      <c r="AC89" s="620"/>
      <c r="AD89" s="621"/>
      <c r="AE89" s="622"/>
    </row>
    <row r="90" spans="1:31" ht="30" customHeight="1">
      <c r="C90" s="633">
        <v>6</v>
      </c>
      <c r="D90" s="526" t="str">
        <f>IF(C12="English","Polybrominated diphenyl ethers (PBDE)  (Including Deca-BDE: Decabromojiphenyl ether CAS RN 1163-19-5)",IF(C12="中文","PBDE；聚溴联苯醚 (包括DBDE (十溴联苯醚) CAS RN 1163-19-5)","PBDE；ポリ臭化ジフェニルエーテル (Deca-BDE：デカブロモジフェニルエーテル CAS RN 1163-19-5を含む)"))</f>
        <v>PBDE；聚溴联苯醚 (包括DBDE (十溴联苯醚) CAS RN 1163-19-5)</v>
      </c>
      <c r="E90" s="635"/>
      <c r="F90" s="635"/>
      <c r="G90" s="635"/>
      <c r="H90" s="635"/>
      <c r="I90" s="635"/>
      <c r="J90" s="635"/>
      <c r="K90" s="635"/>
      <c r="L90" s="635"/>
      <c r="M90" s="635"/>
      <c r="N90" s="635"/>
      <c r="O90" s="635"/>
      <c r="P90" s="636"/>
      <c r="Q90" s="638" t="str">
        <f>IF(C12="English","Uses for electrical and electronic equipment",IF(C12="中文","电气电子机器用途","電気電子機器用途"))</f>
        <v>电气电子机器用途</v>
      </c>
      <c r="R90" s="639"/>
      <c r="S90" s="639"/>
      <c r="T90" s="639"/>
      <c r="U90" s="639"/>
      <c r="V90" s="639"/>
      <c r="W90" s="640"/>
      <c r="X90" s="630" t="str">
        <f>IF(C12="English","Intentionally added or 1,000",IF(C12="中文","禁止有意添加
且限制值为1,000","意図的添加禁止
且つ 1,000"))</f>
        <v>禁止有意添加
且限制值为1,000</v>
      </c>
      <c r="Y90" s="631"/>
      <c r="Z90" s="631"/>
      <c r="AA90" s="631"/>
      <c r="AB90" s="632"/>
      <c r="AC90" s="577"/>
      <c r="AD90" s="578"/>
      <c r="AE90" s="615"/>
    </row>
    <row r="91" spans="1:31" ht="30" customHeight="1">
      <c r="C91" s="634"/>
      <c r="D91" s="532"/>
      <c r="E91" s="533"/>
      <c r="F91" s="533"/>
      <c r="G91" s="533"/>
      <c r="H91" s="533"/>
      <c r="I91" s="533"/>
      <c r="J91" s="533"/>
      <c r="K91" s="533"/>
      <c r="L91" s="533"/>
      <c r="M91" s="533"/>
      <c r="N91" s="533"/>
      <c r="O91" s="533"/>
      <c r="P91" s="637"/>
      <c r="Q91" s="638" t="str">
        <f>IF(C12="English","Uses for not electrical and electronic equipment",IF(C12="中文","电气电子机器以外用途","電気電子機器以外の用途"))</f>
        <v>电气电子机器以外用途</v>
      </c>
      <c r="R91" s="639"/>
      <c r="S91" s="639"/>
      <c r="T91" s="639"/>
      <c r="U91" s="639"/>
      <c r="V91" s="639"/>
      <c r="W91" s="640"/>
      <c r="X91" s="623" t="str">
        <f>IF(C12="English","Intentionally added or 500",IF(C12="中文","禁止有意添加
且限制值为500","意図的添加禁止
且つ 500"))</f>
        <v>禁止有意添加
且限制值为500</v>
      </c>
      <c r="Y91" s="624"/>
      <c r="Z91" s="624"/>
      <c r="AA91" s="624"/>
      <c r="AB91" s="625"/>
      <c r="AC91" s="620"/>
      <c r="AD91" s="621"/>
      <c r="AE91" s="622"/>
    </row>
    <row r="92" spans="1:31" ht="15" customHeight="1">
      <c r="C92" s="641" t="s">
        <v>27</v>
      </c>
      <c r="D92" s="638" t="str">
        <f>IF(C12="English","Phthalate esters 4 substances below",IF(C12="中文","邻苯二甲酸酯 下述4种物质","フタル酸エステル　下記４物質"))</f>
        <v>邻苯二甲酸酯 下述4种物质</v>
      </c>
      <c r="E92" s="644"/>
      <c r="F92" s="644"/>
      <c r="G92" s="644"/>
      <c r="H92" s="644"/>
      <c r="I92" s="644"/>
      <c r="J92" s="644"/>
      <c r="K92" s="644"/>
      <c r="L92" s="644"/>
      <c r="M92" s="644"/>
      <c r="N92" s="644"/>
      <c r="O92" s="644"/>
      <c r="P92" s="645"/>
      <c r="Q92" s="646"/>
      <c r="R92" s="647"/>
      <c r="S92" s="647"/>
      <c r="T92" s="647"/>
      <c r="U92" s="647"/>
      <c r="V92" s="647"/>
      <c r="W92" s="648"/>
      <c r="X92" s="630"/>
      <c r="Y92" s="631"/>
      <c r="Z92" s="631"/>
      <c r="AA92" s="631"/>
      <c r="AB92" s="632"/>
      <c r="AC92" s="649"/>
      <c r="AD92" s="650"/>
      <c r="AE92" s="651"/>
    </row>
    <row r="93" spans="1:31" ht="30" customHeight="1">
      <c r="C93" s="642"/>
      <c r="D93" s="550" t="str">
        <f>IF(C12="English","Bis(2-ethylhexyl) phthalate（DEHP）
(Another name : DOP) (CAS RN 117-81-7)",IF(C12="中文","邻苯二甲酸二（2-乙基己基）酯（DEHP)　 
别称 : DOP(CAS RN 117-81-7)","フタル酸ビス（2-エチルヘキシル）（DEHP）
別称：DOP(CAS RN 117-81-7) "))</f>
        <v>邻苯二甲酸二（2-乙基己基）酯（DEHP)　 
别称 : DOP(CAS RN 117-81-7)</v>
      </c>
      <c r="E93" s="551"/>
      <c r="F93" s="551"/>
      <c r="G93" s="551"/>
      <c r="H93" s="551"/>
      <c r="I93" s="551"/>
      <c r="J93" s="551"/>
      <c r="K93" s="551"/>
      <c r="L93" s="551"/>
      <c r="M93" s="551"/>
      <c r="N93" s="551"/>
      <c r="O93" s="551"/>
      <c r="P93" s="552"/>
      <c r="Q93" s="652" t="str">
        <f>IF(C12="English","Uses for electrical and electronic equipment",IF(C12="中文","電気電子機器用途","電気電子機器用途"))</f>
        <v>電気電子機器用途</v>
      </c>
      <c r="R93" s="653"/>
      <c r="S93" s="653"/>
      <c r="T93" s="653"/>
      <c r="U93" s="653"/>
      <c r="V93" s="653"/>
      <c r="W93" s="654"/>
      <c r="X93" s="541" t="str">
        <f>IF(C12="English","Each : 1,000",IF(C12="中文","各 1,000","各 1,000"))</f>
        <v>各 1,000</v>
      </c>
      <c r="Y93" s="542"/>
      <c r="Z93" s="542"/>
      <c r="AA93" s="542"/>
      <c r="AB93" s="543"/>
      <c r="AC93" s="506"/>
      <c r="AD93" s="507"/>
      <c r="AE93" s="508"/>
    </row>
    <row r="94" spans="1:31" ht="30" customHeight="1">
      <c r="C94" s="642"/>
      <c r="D94" s="503" t="str">
        <f>IF(C12="English","Dibutyl phthalate（DBP）
(CAS RN 84-74-2)",IF(C12="中文","邻苯二甲酸二丁酯（DBP）
(CAS RN 84-74-2)","フタル酸ジブチル（DBP）
(CAS RN 84-74-2)"))</f>
        <v>邻苯二甲酸二丁酯（DBP）
(CAS RN 84-74-2)</v>
      </c>
      <c r="E94" s="504"/>
      <c r="F94" s="504"/>
      <c r="G94" s="504"/>
      <c r="H94" s="504"/>
      <c r="I94" s="504"/>
      <c r="J94" s="504"/>
      <c r="K94" s="504"/>
      <c r="L94" s="504"/>
      <c r="M94" s="504"/>
      <c r="N94" s="504"/>
      <c r="O94" s="504"/>
      <c r="P94" s="505"/>
      <c r="Q94" s="655"/>
      <c r="R94" s="656"/>
      <c r="S94" s="656"/>
      <c r="T94" s="656"/>
      <c r="U94" s="656"/>
      <c r="V94" s="656"/>
      <c r="W94" s="657"/>
      <c r="X94" s="544"/>
      <c r="Y94" s="545"/>
      <c r="Z94" s="545"/>
      <c r="AA94" s="545"/>
      <c r="AB94" s="546"/>
      <c r="AC94" s="506"/>
      <c r="AD94" s="507"/>
      <c r="AE94" s="508"/>
    </row>
    <row r="95" spans="1:31" ht="30" customHeight="1">
      <c r="C95" s="642"/>
      <c r="D95" s="503" t="str">
        <f>IF(C12="English","Benzyl butyl phthalate (BBP)
(CAS RN 85-68-7)",IF(C12="中文","邻苯二甲酸丁苄酯（BBP）
(CAS RN 85-68-7)","フタル酸ブチルベンジル(BBP)
(CAS RN 85-68-7)"))</f>
        <v>邻苯二甲酸丁苄酯（BBP）
(CAS RN 85-68-7)</v>
      </c>
      <c r="E95" s="504"/>
      <c r="F95" s="504"/>
      <c r="G95" s="504"/>
      <c r="H95" s="504"/>
      <c r="I95" s="504"/>
      <c r="J95" s="504"/>
      <c r="K95" s="504"/>
      <c r="L95" s="504"/>
      <c r="M95" s="504"/>
      <c r="N95" s="504"/>
      <c r="O95" s="504"/>
      <c r="P95" s="505"/>
      <c r="Q95" s="655"/>
      <c r="R95" s="656"/>
      <c r="S95" s="656"/>
      <c r="T95" s="656"/>
      <c r="U95" s="656"/>
      <c r="V95" s="656"/>
      <c r="W95" s="657"/>
      <c r="X95" s="544"/>
      <c r="Y95" s="545"/>
      <c r="Z95" s="545"/>
      <c r="AA95" s="545"/>
      <c r="AB95" s="546"/>
      <c r="AC95" s="506"/>
      <c r="AD95" s="507"/>
      <c r="AE95" s="508"/>
    </row>
    <row r="96" spans="1:31" ht="30" customHeight="1">
      <c r="C96" s="643"/>
      <c r="D96" s="509" t="str">
        <f>IF(C12="English","Diisobutyl phthalate (DIBP)
(CAS RN84-69-5)",IF(C12="中文","邻苯二甲酸二异丁酯（DIBP）
(CAS RN 84-69-5)","フタル酸ジイソブチル (DIBP)
(CAS RN 84-69-5)"))</f>
        <v>邻苯二甲酸二异丁酯（DIBP）
(CAS RN 84-69-5)</v>
      </c>
      <c r="E96" s="510"/>
      <c r="F96" s="510"/>
      <c r="G96" s="510"/>
      <c r="H96" s="510"/>
      <c r="I96" s="510"/>
      <c r="J96" s="510"/>
      <c r="K96" s="510"/>
      <c r="L96" s="510"/>
      <c r="M96" s="510"/>
      <c r="N96" s="510"/>
      <c r="O96" s="510"/>
      <c r="P96" s="511"/>
      <c r="Q96" s="658"/>
      <c r="R96" s="659"/>
      <c r="S96" s="659"/>
      <c r="T96" s="659"/>
      <c r="U96" s="659"/>
      <c r="V96" s="659"/>
      <c r="W96" s="660"/>
      <c r="X96" s="661"/>
      <c r="Y96" s="662"/>
      <c r="Z96" s="662"/>
      <c r="AA96" s="662"/>
      <c r="AB96" s="663"/>
      <c r="AC96" s="506"/>
      <c r="AD96" s="507"/>
      <c r="AE96" s="508"/>
    </row>
    <row r="97" spans="2:37" ht="15" customHeight="1">
      <c r="C97" s="664" t="s">
        <v>0</v>
      </c>
      <c r="D97" s="638" t="str">
        <f>IF(C12="English","Phthalate esters 4 substances below",IF(C12="中文","邻苯二甲酸酯 下述4种物质","フタル酸エステル　下記４物質"))</f>
        <v>邻苯二甲酸酯 下述4种物质</v>
      </c>
      <c r="E97" s="644"/>
      <c r="F97" s="644"/>
      <c r="G97" s="644"/>
      <c r="H97" s="644"/>
      <c r="I97" s="644"/>
      <c r="J97" s="644"/>
      <c r="K97" s="644"/>
      <c r="L97" s="644"/>
      <c r="M97" s="644"/>
      <c r="N97" s="644"/>
      <c r="O97" s="644"/>
      <c r="P97" s="645"/>
      <c r="Q97" s="646"/>
      <c r="R97" s="647"/>
      <c r="S97" s="647"/>
      <c r="T97" s="647"/>
      <c r="U97" s="647"/>
      <c r="V97" s="647"/>
      <c r="W97" s="648"/>
      <c r="X97" s="630"/>
      <c r="Y97" s="631"/>
      <c r="Z97" s="631"/>
      <c r="AA97" s="631"/>
      <c r="AB97" s="632"/>
      <c r="AC97" s="649"/>
      <c r="AD97" s="650"/>
      <c r="AE97" s="651"/>
    </row>
    <row r="98" spans="2:37" ht="30" customHeight="1">
      <c r="C98" s="665"/>
      <c r="D98" s="550" t="str">
        <f>IF(C12="English","Bis(2-ethylhexyl) phthalate（DEHP）
(Another name : DOP) (CAS RN 117-81-7)",IF(C12="中文","邻苯二甲酸二（2-乙基己基）酯（DEHP)　 
别称 : DOP(CAS RN 117-81-7)","フタル酸ビス（2-エチルヘキシル）（DEHP）
別称：DOP(CAS RN 117-81-7) "))</f>
        <v>邻苯二甲酸二（2-乙基己基）酯（DEHP)　 
别称 : DOP(CAS RN 117-81-7)</v>
      </c>
      <c r="E98" s="551"/>
      <c r="F98" s="551"/>
      <c r="G98" s="551"/>
      <c r="H98" s="551"/>
      <c r="I98" s="551"/>
      <c r="J98" s="551"/>
      <c r="K98" s="551"/>
      <c r="L98" s="551"/>
      <c r="M98" s="551"/>
      <c r="N98" s="551"/>
      <c r="O98" s="551"/>
      <c r="P98" s="552"/>
      <c r="Q98" s="652" t="str">
        <f>IF(C12="English","Uses for not electrical and electronic equipment,
and for Toys or childcare products",IF(C12="中文","電気電子機器以外用途
和玩具、育児制品用途","電気電子機器以外の用途および玩具、
育児製品用途"))</f>
        <v>電気電子機器以外用途
和玩具、育児制品用途</v>
      </c>
      <c r="R98" s="653"/>
      <c r="S98" s="653"/>
      <c r="T98" s="653"/>
      <c r="U98" s="653"/>
      <c r="V98" s="653"/>
      <c r="W98" s="654"/>
      <c r="X98" s="541" t="str">
        <f>IF(C12="English","DEHP, DBP,
BBP, DIBP
Total of 4 
substances is less
than 1,000",IF(C12="中文","DEHP、DBP、
BBP、DIBP
4种物质总量：
1,000","DEHP、DBP、
BBP、DIBP
4物質の合計：
1,000"))</f>
        <v>DEHP、DBP、
BBP、DIBP
4种物质总量：
1,000</v>
      </c>
      <c r="Y98" s="542"/>
      <c r="Z98" s="542"/>
      <c r="AA98" s="542"/>
      <c r="AB98" s="543"/>
      <c r="AC98" s="577"/>
      <c r="AD98" s="578"/>
      <c r="AE98" s="615"/>
    </row>
    <row r="99" spans="2:37" ht="30" customHeight="1">
      <c r="C99" s="665"/>
      <c r="D99" s="503" t="str">
        <f>IF(C12="English","Dibutyl phthalate（DBP）
(CAS RN 84-74-2)",IF(C12="中文","邻苯二甲酸二丁酯（DBP）
(CAS RN 84-74-2)","フタル酸ジブチル（DBP）
(CAS RN 84-74-2)"))</f>
        <v>邻苯二甲酸二丁酯（DBP）
(CAS RN 84-74-2)</v>
      </c>
      <c r="E99" s="504"/>
      <c r="F99" s="504"/>
      <c r="G99" s="504"/>
      <c r="H99" s="504"/>
      <c r="I99" s="504"/>
      <c r="J99" s="504"/>
      <c r="K99" s="504"/>
      <c r="L99" s="504"/>
      <c r="M99" s="504"/>
      <c r="N99" s="504"/>
      <c r="O99" s="504"/>
      <c r="P99" s="505"/>
      <c r="Q99" s="655"/>
      <c r="R99" s="656"/>
      <c r="S99" s="656"/>
      <c r="T99" s="656"/>
      <c r="U99" s="656"/>
      <c r="V99" s="656"/>
      <c r="W99" s="657"/>
      <c r="X99" s="544"/>
      <c r="Y99" s="545"/>
      <c r="Z99" s="545"/>
      <c r="AA99" s="545"/>
      <c r="AB99" s="546"/>
      <c r="AC99" s="580"/>
      <c r="AD99" s="581"/>
      <c r="AE99" s="626"/>
    </row>
    <row r="100" spans="2:37" ht="30" customHeight="1">
      <c r="C100" s="665"/>
      <c r="D100" s="503" t="str">
        <f>IF(C12="English","Benzyl butyl phthalate (BBP)
(CAS RN 85-68-7)",IF(C12="中文","邻苯二甲酸丁苄酯（BBP）
(CAS RN 85-68-7)","フタル酸ブチルベンジル(BBP)
(CAS RN 85-68-7)"))</f>
        <v>邻苯二甲酸丁苄酯（BBP）
(CAS RN 85-68-7)</v>
      </c>
      <c r="E100" s="504"/>
      <c r="F100" s="504"/>
      <c r="G100" s="504"/>
      <c r="H100" s="504"/>
      <c r="I100" s="504"/>
      <c r="J100" s="504"/>
      <c r="K100" s="504"/>
      <c r="L100" s="504"/>
      <c r="M100" s="504"/>
      <c r="N100" s="504"/>
      <c r="O100" s="504"/>
      <c r="P100" s="505"/>
      <c r="Q100" s="655"/>
      <c r="R100" s="656"/>
      <c r="S100" s="656"/>
      <c r="T100" s="656"/>
      <c r="U100" s="656"/>
      <c r="V100" s="656"/>
      <c r="W100" s="657"/>
      <c r="X100" s="544"/>
      <c r="Y100" s="545"/>
      <c r="Z100" s="545"/>
      <c r="AA100" s="545"/>
      <c r="AB100" s="546"/>
      <c r="AC100" s="580"/>
      <c r="AD100" s="581"/>
      <c r="AE100" s="626"/>
    </row>
    <row r="101" spans="2:37" ht="30" customHeight="1">
      <c r="C101" s="666"/>
      <c r="D101" s="509" t="str">
        <f>IF(C12="English","Diisobutyl phthalate (DIBP)
(CAS RN84-69-5)",IF(C12="中文","邻苯二甲酸二异丁酯（DIBP）
(CAS RN 84-69-5)","フタル酸ジイソブチル (DIBP)
(CAS RN 84-69-5)"))</f>
        <v>邻苯二甲酸二异丁酯（DIBP）
(CAS RN 84-69-5)</v>
      </c>
      <c r="E101" s="510"/>
      <c r="F101" s="510"/>
      <c r="G101" s="510"/>
      <c r="H101" s="510"/>
      <c r="I101" s="510"/>
      <c r="J101" s="510"/>
      <c r="K101" s="510"/>
      <c r="L101" s="510"/>
      <c r="M101" s="510"/>
      <c r="N101" s="510"/>
      <c r="O101" s="510"/>
      <c r="P101" s="511"/>
      <c r="Q101" s="658"/>
      <c r="R101" s="659"/>
      <c r="S101" s="659"/>
      <c r="T101" s="659"/>
      <c r="U101" s="659"/>
      <c r="V101" s="659"/>
      <c r="W101" s="660"/>
      <c r="X101" s="661"/>
      <c r="Y101" s="662"/>
      <c r="Z101" s="662"/>
      <c r="AA101" s="662"/>
      <c r="AB101" s="663"/>
      <c r="AC101" s="627"/>
      <c r="AD101" s="628"/>
      <c r="AE101" s="629"/>
    </row>
    <row r="102" spans="2:37" ht="15" customHeight="1">
      <c r="C102" s="520">
        <v>8</v>
      </c>
      <c r="D102" s="638" t="str">
        <f>IF(C12="English","Phthalate esters 3 substances below",IF(C12="中文","邻苯二甲酸酯 下述3种物质","フタル酸エステル　下記3物質"))</f>
        <v>邻苯二甲酸酯 下述3种物质</v>
      </c>
      <c r="E102" s="644"/>
      <c r="F102" s="644"/>
      <c r="G102" s="644"/>
      <c r="H102" s="644"/>
      <c r="I102" s="644"/>
      <c r="J102" s="644"/>
      <c r="K102" s="644"/>
      <c r="L102" s="644"/>
      <c r="M102" s="644"/>
      <c r="N102" s="644"/>
      <c r="O102" s="644"/>
      <c r="P102" s="645"/>
      <c r="Q102" s="646"/>
      <c r="R102" s="647"/>
      <c r="S102" s="647"/>
      <c r="T102" s="647"/>
      <c r="U102" s="647"/>
      <c r="V102" s="647"/>
      <c r="W102" s="648"/>
      <c r="X102" s="630"/>
      <c r="Y102" s="631"/>
      <c r="Z102" s="631"/>
      <c r="AA102" s="631"/>
      <c r="AB102" s="632"/>
      <c r="AC102" s="649"/>
      <c r="AD102" s="650"/>
      <c r="AE102" s="651"/>
    </row>
    <row r="103" spans="2:37" ht="45" customHeight="1">
      <c r="C103" s="521"/>
      <c r="D103" s="550" t="str">
        <f>IF(C12="English","Diisononyl phthalate（DINP）
(CAS RN 28553-12-0)
(CAS RN68515-48-0)",IF(C12="中文","邻苯二甲酸二异壬酯（DINP）
(CAS RN 28553-12-0)
(CAS RN68515-48-0)","フタル酸ジイソノニル（DINP）
(CAS RN 28553-12-0)
(CAS RN68515-48-0)"))</f>
        <v>邻苯二甲酸二异壬酯（DINP）
(CAS RN 28553-12-0)
(CAS RN68515-48-0)</v>
      </c>
      <c r="E103" s="551"/>
      <c r="F103" s="551"/>
      <c r="G103" s="551"/>
      <c r="H103" s="551"/>
      <c r="I103" s="551"/>
      <c r="J103" s="551"/>
      <c r="K103" s="551"/>
      <c r="L103" s="551"/>
      <c r="M103" s="551"/>
      <c r="N103" s="551"/>
      <c r="O103" s="551"/>
      <c r="P103" s="552"/>
      <c r="Q103" s="670" t="str">
        <f>IF(C12="English","Toys or childcare products",IF(C12="中文","玩具、育児制品用途","玩具、育児製品用途"))</f>
        <v>玩具、育児制品用途</v>
      </c>
      <c r="R103" s="671"/>
      <c r="S103" s="671"/>
      <c r="T103" s="671"/>
      <c r="U103" s="671"/>
      <c r="V103" s="671"/>
      <c r="W103" s="672"/>
      <c r="X103" s="541" t="str">
        <f>IF(C12="English","DINP, DIDP, 
DNOP
Total of 3
substances is less
than 1,000",IF(C12="中文","DINP、DIDP、
DNOP 
3种物质总量：
1,000","DINP、DIDP、
DNOP 
3物質の合計：
1,000"))</f>
        <v>DINP、DIDP、
DNOP 
3种物质总量：
1,000</v>
      </c>
      <c r="Y103" s="542"/>
      <c r="Z103" s="542"/>
      <c r="AA103" s="542"/>
      <c r="AB103" s="543"/>
      <c r="AC103" s="577"/>
      <c r="AD103" s="578"/>
      <c r="AE103" s="615"/>
    </row>
    <row r="104" spans="2:37" ht="30" customHeight="1">
      <c r="C104" s="521"/>
      <c r="D104" s="503" t="str">
        <f>IF(C12="English","Diisodecyl phthalate（DIDP）
(CAS RN 26761-40-0)",IF(C12="中文","邻邻苯二甲酸二异癸酯（DIDP）
(CAS RN 26761-40-0)","フタル酸ジイソデシル（DIDP）
(CAS RN 26761-40-0)"))</f>
        <v>邻邻苯二甲酸二异癸酯（DIDP）
(CAS RN 26761-40-0)</v>
      </c>
      <c r="E104" s="504"/>
      <c r="F104" s="504"/>
      <c r="G104" s="504"/>
      <c r="H104" s="504"/>
      <c r="I104" s="504"/>
      <c r="J104" s="504"/>
      <c r="K104" s="504"/>
      <c r="L104" s="504"/>
      <c r="M104" s="504"/>
      <c r="N104" s="504"/>
      <c r="O104" s="504"/>
      <c r="P104" s="505"/>
      <c r="Q104" s="673"/>
      <c r="R104" s="674"/>
      <c r="S104" s="674"/>
      <c r="T104" s="674"/>
      <c r="U104" s="674"/>
      <c r="V104" s="674"/>
      <c r="W104" s="675"/>
      <c r="X104" s="544"/>
      <c r="Y104" s="545"/>
      <c r="Z104" s="545"/>
      <c r="AA104" s="545"/>
      <c r="AB104" s="546"/>
      <c r="AC104" s="580"/>
      <c r="AD104" s="581"/>
      <c r="AE104" s="626"/>
    </row>
    <row r="105" spans="2:37" ht="30" customHeight="1">
      <c r="C105" s="522"/>
      <c r="D105" s="509" t="str">
        <f>IF(C12="English","Di-n-octyl phthalate（DNOP）
(CAS RN 117-84-0)",IF(C12="中文","邻苯二甲酸二正辛酯（DNOP）
(CAS RN 117-84-0)","フタル酸ジ-ｎ-オクチル（DNOP）
(CAS RN 117-84-0)"))</f>
        <v>邻苯二甲酸二正辛酯（DNOP）
(CAS RN 117-84-0)</v>
      </c>
      <c r="E105" s="510"/>
      <c r="F105" s="510"/>
      <c r="G105" s="510"/>
      <c r="H105" s="510"/>
      <c r="I105" s="510"/>
      <c r="J105" s="510"/>
      <c r="K105" s="510"/>
      <c r="L105" s="510"/>
      <c r="M105" s="510"/>
      <c r="N105" s="510"/>
      <c r="O105" s="510"/>
      <c r="P105" s="511"/>
      <c r="Q105" s="676"/>
      <c r="R105" s="677"/>
      <c r="S105" s="677"/>
      <c r="T105" s="677"/>
      <c r="U105" s="677"/>
      <c r="V105" s="677"/>
      <c r="W105" s="678"/>
      <c r="X105" s="661"/>
      <c r="Y105" s="662"/>
      <c r="Z105" s="662"/>
      <c r="AA105" s="662"/>
      <c r="AB105" s="663"/>
      <c r="AC105" s="627"/>
      <c r="AD105" s="628"/>
      <c r="AE105" s="629"/>
    </row>
    <row r="106" spans="2:37" ht="15" customHeight="1">
      <c r="C106" s="152"/>
      <c r="D106" s="165"/>
      <c r="E106" s="166"/>
      <c r="F106" s="166"/>
      <c r="G106" s="166"/>
      <c r="H106" s="166"/>
      <c r="I106" s="166"/>
      <c r="J106" s="166"/>
      <c r="K106" s="166"/>
      <c r="L106" s="166"/>
      <c r="M106" s="166"/>
      <c r="N106" s="166"/>
      <c r="O106" s="166"/>
      <c r="P106" s="166"/>
      <c r="Q106" s="157"/>
      <c r="R106" s="83"/>
      <c r="S106" s="83"/>
      <c r="T106" s="83"/>
      <c r="U106" s="83"/>
      <c r="V106" s="83"/>
      <c r="W106" s="83"/>
      <c r="X106" s="162"/>
      <c r="Y106" s="166"/>
      <c r="Z106" s="166"/>
      <c r="AA106" s="166"/>
      <c r="AB106" s="166"/>
      <c r="AC106" s="164"/>
      <c r="AD106" s="164"/>
      <c r="AE106" s="114"/>
    </row>
    <row r="107" spans="2:37" ht="13.5" customHeight="1">
      <c r="B107" s="30"/>
      <c r="C107" s="199"/>
      <c r="D107" s="31"/>
      <c r="E107" s="31"/>
      <c r="F107" s="31"/>
      <c r="G107" s="31"/>
      <c r="H107" s="31"/>
      <c r="I107" s="31"/>
      <c r="J107" s="31"/>
      <c r="K107" s="31"/>
      <c r="L107" s="31"/>
      <c r="M107" s="31"/>
      <c r="N107" s="31"/>
      <c r="O107" s="31"/>
      <c r="P107" s="31"/>
      <c r="Q107" s="157"/>
      <c r="R107" s="157"/>
      <c r="S107" s="157"/>
      <c r="T107" s="157"/>
      <c r="U107" s="34"/>
      <c r="V107" s="34"/>
      <c r="W107" s="34"/>
      <c r="X107" s="157"/>
      <c r="Y107" s="157"/>
      <c r="Z107" s="32"/>
      <c r="AA107" s="157"/>
      <c r="AB107" s="157"/>
      <c r="AC107" s="115"/>
      <c r="AD107" s="115"/>
      <c r="AE107" s="115"/>
      <c r="AH107" s="3"/>
      <c r="AI107" s="3"/>
      <c r="AJ107" s="3"/>
      <c r="AK107" s="3"/>
    </row>
    <row r="108" spans="2:37" ht="40.049999999999997" customHeight="1">
      <c r="C108" s="159">
        <v>9</v>
      </c>
      <c r="D108" s="523" t="str">
        <f>IF(C12="English","Polychlorinated biphenyls (PCB)",IF(C12="中文","PCB；多氯化联苯","PCB；ポリ塩化ビフェニル"))</f>
        <v>PCB；多氯化联苯</v>
      </c>
      <c r="E108" s="524"/>
      <c r="F108" s="524"/>
      <c r="G108" s="524"/>
      <c r="H108" s="524"/>
      <c r="I108" s="524"/>
      <c r="J108" s="524"/>
      <c r="K108" s="524"/>
      <c r="L108" s="524"/>
      <c r="M108" s="524"/>
      <c r="N108" s="524"/>
      <c r="O108" s="524"/>
      <c r="P108" s="525"/>
      <c r="Q108" s="667" t="str">
        <f>IF(C12="English","All uses",IF(C12="中文","所有用途","全ての用途"))</f>
        <v>所有用途</v>
      </c>
      <c r="R108" s="668"/>
      <c r="S108" s="668"/>
      <c r="T108" s="668"/>
      <c r="U108" s="668"/>
      <c r="V108" s="668"/>
      <c r="W108" s="669"/>
      <c r="X108" s="605" t="str">
        <f>IF(C12="English","Intentionally added or 50",IF(C12="中文","禁止有意添加
且　50","意図的添加禁止
且つ 50"))</f>
        <v>禁止有意添加
且　50</v>
      </c>
      <c r="Y108" s="606"/>
      <c r="Z108" s="606"/>
      <c r="AA108" s="606"/>
      <c r="AB108" s="607"/>
      <c r="AC108" s="506"/>
      <c r="AD108" s="507"/>
      <c r="AE108" s="508"/>
    </row>
    <row r="109" spans="2:37" ht="40.049999999999997" customHeight="1">
      <c r="C109" s="159">
        <v>10</v>
      </c>
      <c r="D109" s="523" t="str">
        <f>IF(C12="English","Polychlorinated naphthalenes (PCN)
(1 or more chlorine atoms)",IF(C12="中文","PCN；聚氯化萘
(氯数 1以上)","PCN；ポリ塩化ナフタレン
(塩素数 1以上)"))</f>
        <v>PCN；聚氯化萘
(氯数 1以上)</v>
      </c>
      <c r="E109" s="524"/>
      <c r="F109" s="524"/>
      <c r="G109" s="524"/>
      <c r="H109" s="524"/>
      <c r="I109" s="524"/>
      <c r="J109" s="524"/>
      <c r="K109" s="524"/>
      <c r="L109" s="524"/>
      <c r="M109" s="524"/>
      <c r="N109" s="524"/>
      <c r="O109" s="524"/>
      <c r="P109" s="525"/>
      <c r="Q109" s="667" t="str">
        <f>IF(C12="English","All uses",IF(C12="中文","所有用途","全ての用途"))</f>
        <v>所有用途</v>
      </c>
      <c r="R109" s="668"/>
      <c r="S109" s="668"/>
      <c r="T109" s="668"/>
      <c r="U109" s="668"/>
      <c r="V109" s="668"/>
      <c r="W109" s="669"/>
      <c r="X109" s="605" t="str">
        <f>IF(C12="English","Intentionally added or 50",IF(C12="中文","禁止有意添加
且　50","意図的添加禁止
且つ 50"))</f>
        <v>禁止有意添加
且　50</v>
      </c>
      <c r="Y109" s="606"/>
      <c r="Z109" s="606"/>
      <c r="AA109" s="606"/>
      <c r="AB109" s="607"/>
      <c r="AC109" s="506"/>
      <c r="AD109" s="507"/>
      <c r="AE109" s="508"/>
    </row>
    <row r="110" spans="2:37" ht="40.049999999999997" customHeight="1">
      <c r="C110" s="159">
        <v>11</v>
      </c>
      <c r="D110" s="523" t="str">
        <f>IF(C12="English","Polychlorinated terphenyls (PCT)",IF(C12="中文","PCT；聚氯三联苯","PCT；ポリ塩化ターフェニル"))</f>
        <v>PCT；聚氯三联苯</v>
      </c>
      <c r="E110" s="524"/>
      <c r="F110" s="524"/>
      <c r="G110" s="524"/>
      <c r="H110" s="524"/>
      <c r="I110" s="524"/>
      <c r="J110" s="524"/>
      <c r="K110" s="524"/>
      <c r="L110" s="524"/>
      <c r="M110" s="524"/>
      <c r="N110" s="524"/>
      <c r="O110" s="524"/>
      <c r="P110" s="525"/>
      <c r="Q110" s="667" t="str">
        <f>IF(C12="English","All uses",IF(C12="中文","所有用途","全ての用途"))</f>
        <v>所有用途</v>
      </c>
      <c r="R110" s="668"/>
      <c r="S110" s="668"/>
      <c r="T110" s="668"/>
      <c r="U110" s="668"/>
      <c r="V110" s="668"/>
      <c r="W110" s="669"/>
      <c r="X110" s="605" t="str">
        <f>IF(C12="English","Intentionally added or 50",IF(C12="中文","禁止有意添加
且　50","意図的添加禁止
且つ 50"))</f>
        <v>禁止有意添加
且　50</v>
      </c>
      <c r="Y110" s="606"/>
      <c r="Z110" s="606"/>
      <c r="AA110" s="606"/>
      <c r="AB110" s="607"/>
      <c r="AC110" s="506"/>
      <c r="AD110" s="507"/>
      <c r="AE110" s="508"/>
    </row>
    <row r="111" spans="2:37" ht="30" customHeight="1">
      <c r="C111" s="159">
        <v>12</v>
      </c>
      <c r="D111" s="523" t="str">
        <f>IF(C12="English","Asbestos",IF(C12="中文","石棉类","アスベスト類"))</f>
        <v>石棉类</v>
      </c>
      <c r="E111" s="524"/>
      <c r="F111" s="524"/>
      <c r="G111" s="524"/>
      <c r="H111" s="524"/>
      <c r="I111" s="524"/>
      <c r="J111" s="524"/>
      <c r="K111" s="524"/>
      <c r="L111" s="524"/>
      <c r="M111" s="524"/>
      <c r="N111" s="524"/>
      <c r="O111" s="524"/>
      <c r="P111" s="525"/>
      <c r="Q111" s="667" t="str">
        <f>IF(C12="English","All uses",IF(C12="中文","所有用途","全ての用途"))</f>
        <v>所有用途</v>
      </c>
      <c r="R111" s="668"/>
      <c r="S111" s="668"/>
      <c r="T111" s="668"/>
      <c r="U111" s="668"/>
      <c r="V111" s="668"/>
      <c r="W111" s="669"/>
      <c r="X111" s="605" t="str">
        <f>IF(C12="English","Intentionally 
added",IF(C12="中文","禁止有意添加","意図的添加禁止"))</f>
        <v>禁止有意添加</v>
      </c>
      <c r="Y111" s="606"/>
      <c r="Z111" s="606"/>
      <c r="AA111" s="606"/>
      <c r="AB111" s="607"/>
      <c r="AC111" s="506"/>
      <c r="AD111" s="507"/>
      <c r="AE111" s="508"/>
    </row>
    <row r="112" spans="2:37" ht="50.1" customHeight="1">
      <c r="C112" s="159">
        <v>13</v>
      </c>
      <c r="D112" s="523" t="str">
        <f>IF(C12="English","Short-chain chlorinated paraffin
(carbon number 10-13)（CASRN85535-84-8）",IF(C12="中文","短链氯化石蜡(碳数10-13)
(CAS RN85535-84-8）","短鎖塩素化パラフィン(炭素数10-13)
(CAS RN85535-84-8）"))</f>
        <v>短链氯化石蜡(碳数10-13)
(CAS RN85535-84-8）</v>
      </c>
      <c r="E112" s="524"/>
      <c r="F112" s="524"/>
      <c r="G112" s="524"/>
      <c r="H112" s="524"/>
      <c r="I112" s="524"/>
      <c r="J112" s="524"/>
      <c r="K112" s="524"/>
      <c r="L112" s="524"/>
      <c r="M112" s="524"/>
      <c r="N112" s="524"/>
      <c r="O112" s="524"/>
      <c r="P112" s="525"/>
      <c r="Q112" s="667" t="str">
        <f>IF(C12="English","All uses",IF(C12="中文","所有用途","全ての用途"))</f>
        <v>所有用途</v>
      </c>
      <c r="R112" s="668"/>
      <c r="S112" s="668"/>
      <c r="T112" s="668"/>
      <c r="U112" s="668"/>
      <c r="V112" s="668"/>
      <c r="W112" s="669"/>
      <c r="X112" s="605" t="str">
        <f>IF(C12="English","Intentionally added or 1,000",IF(C12="中文","禁止有意添加
且　1,000","意図的添加禁止
且つ 1,000"))</f>
        <v>禁止有意添加
且　1,000</v>
      </c>
      <c r="Y112" s="606"/>
      <c r="Z112" s="606"/>
      <c r="AA112" s="606"/>
      <c r="AB112" s="607"/>
      <c r="AC112" s="506"/>
      <c r="AD112" s="507"/>
      <c r="AE112" s="508"/>
    </row>
    <row r="113" spans="3:31" ht="120" customHeight="1">
      <c r="C113" s="168">
        <v>14</v>
      </c>
      <c r="D113" s="523" t="str">
        <f>IF(C12="English","Ozone Depleting Substances
* Montreal Protocol on Substances that Deplete the Ozone Layer
Appendix A (Group I, II)
Appendix B (Group I, II, III)
Appendix C (Group I, II, III)
Appendix E (Group I)",IF(C12="中文","臭氧层消耗物质   *蒙特利尔协议
附属文件A（类别Ⅰ, Ⅱ）
附属文件B（类别Ⅰ, Ⅱ, Ⅲ）
附属文件C（类别Ⅰ, Ⅱ, Ⅲ）
附属文件E（类别Ⅰ）
","オゾン層破壊物質
*モントリオール議定書
附属書A（グループⅠ、Ⅱ）
附属書B（グループⅠ、Ⅱ、Ⅲ）
附属書C（グループⅠ、Ⅱ、Ⅲ）
附属書E（グループⅠ）"))</f>
        <v xml:space="preserve">臭氧层消耗物质   *蒙特利尔协议
附属文件A（类别Ⅰ, Ⅱ）
附属文件B（类别Ⅰ, Ⅱ, Ⅲ）
附属文件C（类别Ⅰ, Ⅱ, Ⅲ）
附属文件E（类别Ⅰ）
</v>
      </c>
      <c r="E113" s="524"/>
      <c r="F113" s="524"/>
      <c r="G113" s="524"/>
      <c r="H113" s="524"/>
      <c r="I113" s="524"/>
      <c r="J113" s="524"/>
      <c r="K113" s="524"/>
      <c r="L113" s="524"/>
      <c r="M113" s="524"/>
      <c r="N113" s="524"/>
      <c r="O113" s="524"/>
      <c r="P113" s="525"/>
      <c r="Q113" s="667" t="str">
        <f>IF(C12="English","All uses",IF(C12="中文","所有用途","全ての用途"))</f>
        <v>所有用途</v>
      </c>
      <c r="R113" s="668"/>
      <c r="S113" s="668"/>
      <c r="T113" s="668"/>
      <c r="U113" s="668"/>
      <c r="V113" s="668"/>
      <c r="W113" s="669"/>
      <c r="X113" s="605" t="str">
        <f>IF(C12="English","Intentionally 
added",IF(C12="中文","禁止有意添加","意図的添加禁止"))</f>
        <v>禁止有意添加</v>
      </c>
      <c r="Y113" s="606"/>
      <c r="Z113" s="606"/>
      <c r="AA113" s="606"/>
      <c r="AB113" s="607"/>
      <c r="AC113" s="506"/>
      <c r="AD113" s="507"/>
      <c r="AE113" s="508"/>
    </row>
    <row r="114" spans="3:31" ht="30" customHeight="1">
      <c r="C114" s="160">
        <v>15</v>
      </c>
      <c r="D114" s="679" t="str">
        <f>IF(C12="English","Hydrofluorocarbon (HFC), Perfluoro carbon (PFC), Sulfur hexafluoride(SF6)",IF(C12="中文","氢氟烃（HFC)、全氟碳(PFC)、六氟化硫（SF6）","ハイドロフルオロカーボン（HFC)、パーフルオロカーボン(PFC)、六フッ化硫黄（SF6）"))</f>
        <v>氢氟烃（HFC)、全氟碳(PFC)、六氟化硫（SF6）</v>
      </c>
      <c r="E114" s="680"/>
      <c r="F114" s="680"/>
      <c r="G114" s="680"/>
      <c r="H114" s="680"/>
      <c r="I114" s="680"/>
      <c r="J114" s="680"/>
      <c r="K114" s="680"/>
      <c r="L114" s="680"/>
      <c r="M114" s="680"/>
      <c r="N114" s="680"/>
      <c r="O114" s="680"/>
      <c r="P114" s="681"/>
      <c r="Q114" s="667" t="str">
        <f>IF(C12="English","All uses",IF(C12="中文","所有用途","全ての用途"))</f>
        <v>所有用途</v>
      </c>
      <c r="R114" s="668"/>
      <c r="S114" s="668"/>
      <c r="T114" s="668"/>
      <c r="U114" s="668"/>
      <c r="V114" s="668"/>
      <c r="W114" s="669"/>
      <c r="X114" s="605" t="str">
        <f>IF(C12="English","Intentionally 
added",IF(C12="中文","禁止有意添加","意図的添加禁止"))</f>
        <v>禁止有意添加</v>
      </c>
      <c r="Y114" s="606"/>
      <c r="Z114" s="606"/>
      <c r="AA114" s="606"/>
      <c r="AB114" s="607"/>
      <c r="AC114" s="506"/>
      <c r="AD114" s="507"/>
      <c r="AE114" s="508"/>
    </row>
    <row r="115" spans="3:31" ht="70.05" customHeight="1">
      <c r="C115" s="160">
        <v>16</v>
      </c>
      <c r="D115" s="679" t="str">
        <f>IF(C12="English","Bis (tributyl tin) = oxide (TBTO)
CASRN56-35-9）",IF(C12="中文","双（三丁基锡）=氧化物；TBTO
(CAS RN 56-35-9)","ビス（トリブチルスズ）=オキシド；TBTO
(CAS RN 56-35-9)"))</f>
        <v>双（三丁基锡）=氧化物；TBTO
(CAS RN 56-35-9)</v>
      </c>
      <c r="E115" s="680"/>
      <c r="F115" s="680"/>
      <c r="G115" s="680"/>
      <c r="H115" s="680"/>
      <c r="I115" s="680"/>
      <c r="J115" s="680"/>
      <c r="K115" s="680"/>
      <c r="L115" s="680"/>
      <c r="M115" s="680"/>
      <c r="N115" s="680"/>
      <c r="O115" s="680"/>
      <c r="P115" s="681"/>
      <c r="Q115" s="667" t="str">
        <f>IF(C12="English","All uses",IF(C12="中文","所有用途","全ての用途"))</f>
        <v>所有用途</v>
      </c>
      <c r="R115" s="668"/>
      <c r="S115" s="668"/>
      <c r="T115" s="668"/>
      <c r="U115" s="668"/>
      <c r="V115" s="668"/>
      <c r="W115" s="669"/>
      <c r="X115" s="605" t="str">
        <f>IF(C12="English","Intentionally added 
or 1,000ppm 
as Tin atom",IF(C12="中文","禁止有意添加
且　
锡元素1,000","意図的添加禁止
且つ
スズ元素として1,000"))</f>
        <v>禁止有意添加
且　
锡元素1,000</v>
      </c>
      <c r="Y115" s="606"/>
      <c r="Z115" s="606"/>
      <c r="AA115" s="606"/>
      <c r="AB115" s="607"/>
      <c r="AC115" s="506"/>
      <c r="AD115" s="507"/>
      <c r="AE115" s="508"/>
    </row>
    <row r="116" spans="3:31" ht="70.05" customHeight="1">
      <c r="C116" s="159">
        <v>17</v>
      </c>
      <c r="D116" s="638" t="str">
        <f>IF(C12="English","Trisubstituted organotin (Tributyl tin (TBT) compounds, Triphenyl tin (TPT) compounds, etc.)",IF(C12="中文","三取代有机锡化合物(三丁基锡（TBT）化合物、三苯基锡（TPT）化合物等）","三置換有機スズ化合物（トリブチルスズ(TBT)化合物、トリフェニルスズ(TPT)化合物など）"))</f>
        <v>三取代有机锡化合物(三丁基锡（TBT）化合物、三苯基锡（TPT）化合物等）</v>
      </c>
      <c r="E116" s="644"/>
      <c r="F116" s="644"/>
      <c r="G116" s="644"/>
      <c r="H116" s="644"/>
      <c r="I116" s="644"/>
      <c r="J116" s="644"/>
      <c r="K116" s="644"/>
      <c r="L116" s="644"/>
      <c r="M116" s="644"/>
      <c r="N116" s="644"/>
      <c r="O116" s="644"/>
      <c r="P116" s="645"/>
      <c r="Q116" s="667" t="str">
        <f>IF(C12="English","All uses",IF(C12="中文","所有用途","全ての用途"))</f>
        <v>所有用途</v>
      </c>
      <c r="R116" s="668"/>
      <c r="S116" s="668"/>
      <c r="T116" s="668"/>
      <c r="U116" s="668"/>
      <c r="V116" s="668"/>
      <c r="W116" s="669"/>
      <c r="X116" s="605" t="str">
        <f>IF(C12="English","Intentionally added 
or 1,000ppm 
as Tin atom",IF(C12="中文","禁止有意添加
且　
锡元素1,000","意図的添加禁止
且つ
スズ元素として1,000"))</f>
        <v>禁止有意添加
且　
锡元素1,000</v>
      </c>
      <c r="Y116" s="606"/>
      <c r="Z116" s="606"/>
      <c r="AA116" s="606"/>
      <c r="AB116" s="607"/>
      <c r="AC116" s="506"/>
      <c r="AD116" s="507"/>
      <c r="AE116" s="508"/>
    </row>
    <row r="117" spans="3:31" ht="30" customHeight="1">
      <c r="C117" s="159">
        <v>18</v>
      </c>
      <c r="D117" s="638" t="str">
        <f>IF(C12="English","Dibutyl tin (DBT) compounds",IF(C12="中文","二丁基锡(DBT)化合物","ジブチルスズ(DBT)化合物"))</f>
        <v>二丁基锡(DBT)化合物</v>
      </c>
      <c r="E117" s="644"/>
      <c r="F117" s="644"/>
      <c r="G117" s="644"/>
      <c r="H117" s="644"/>
      <c r="I117" s="644"/>
      <c r="J117" s="644"/>
      <c r="K117" s="644"/>
      <c r="L117" s="644"/>
      <c r="M117" s="644"/>
      <c r="N117" s="644"/>
      <c r="O117" s="644"/>
      <c r="P117" s="645"/>
      <c r="Q117" s="667" t="str">
        <f>IF(C12="English","All uses",IF(C12="中文","所有用途","全ての用途"))</f>
        <v>所有用途</v>
      </c>
      <c r="R117" s="668"/>
      <c r="S117" s="668"/>
      <c r="T117" s="668"/>
      <c r="U117" s="668"/>
      <c r="V117" s="668"/>
      <c r="W117" s="669"/>
      <c r="X117" s="605" t="str">
        <f>IF(C12="English","1,000ppm as Tin atom",IF(C12="中文","锡元素1,000","スズ元素として1,000"))</f>
        <v>锡元素1,000</v>
      </c>
      <c r="Y117" s="606"/>
      <c r="Z117" s="606"/>
      <c r="AA117" s="606"/>
      <c r="AB117" s="607"/>
      <c r="AC117" s="506"/>
      <c r="AD117" s="507"/>
      <c r="AE117" s="508"/>
    </row>
    <row r="118" spans="3:31" ht="147.75" customHeight="1">
      <c r="C118" s="159">
        <v>19</v>
      </c>
      <c r="D118" s="638" t="str">
        <f>IF(C12="English","Dioctyl tin (DOT) compounds",IF(C12="中文","二辛基锡(DOT)化合物","ジオクチルスズ(DOT)化合物"))</f>
        <v>二辛基锡(DOT)化合物</v>
      </c>
      <c r="E118" s="644"/>
      <c r="F118" s="644"/>
      <c r="G118" s="644"/>
      <c r="H118" s="644"/>
      <c r="I118" s="644"/>
      <c r="J118" s="644"/>
      <c r="K118" s="644"/>
      <c r="L118" s="644"/>
      <c r="M118" s="644"/>
      <c r="N118" s="644"/>
      <c r="O118" s="644"/>
      <c r="P118" s="645"/>
      <c r="Q118" s="638" t="str">
        <f>IF(C12="English","Only subject to the following:
・Textile products in contact with human skin
・Toys and childcare articles
・2 solutionat room temperature curing (RTV-2) molding kit",IF(C12="中文","仅适用于以下物品
・接触皮肤的纤维产品
・玩具、儿童用品、育儿产品
・双组分室温固化（RTV-2）成型试剂盒
","下記のみに適用
・皮膚に触れる繊維製品
・玩具、子供向け製品,育児製品
・2液室温硬化（RTV-2）成型キット"))</f>
        <v xml:space="preserve">仅适用于以下物品
・接触皮肤的纤维产品
・玩具、儿童用品、育儿产品
・双组分室温固化（RTV-2）成型试剂盒
</v>
      </c>
      <c r="R118" s="644"/>
      <c r="S118" s="644"/>
      <c r="T118" s="644"/>
      <c r="U118" s="644"/>
      <c r="V118" s="644"/>
      <c r="W118" s="645"/>
      <c r="X118" s="605" t="str">
        <f>IF(C12="English","1,000ppm as Tin atom",IF(C12="中文","锡元素1,000","スズ元素として1,000"))</f>
        <v>锡元素1,000</v>
      </c>
      <c r="Y118" s="606"/>
      <c r="Z118" s="606"/>
      <c r="AA118" s="606"/>
      <c r="AB118" s="607"/>
      <c r="AC118" s="506"/>
      <c r="AD118" s="507"/>
      <c r="AE118" s="508"/>
    </row>
    <row r="119" spans="3:31" ht="45" customHeight="1">
      <c r="C119" s="161">
        <v>20</v>
      </c>
      <c r="D119" s="679" t="str">
        <f>IF(C12="English","Specified amines compounds and some azo dye and pigment forming specified amines (coloring agent) (*1)",IF(C12="中文","特定胺化合物及生成特定胺类的部分偶氮染料及颜料（着色剂）（*1）","特定アミン化合物および特定アミン類を生成する一部のアゾ染料・顔料（着色剤）（*1）"))</f>
        <v>特定胺化合物及生成特定胺类的部分偶氮染料及颜料（着色剂）（*1）</v>
      </c>
      <c r="E119" s="680"/>
      <c r="F119" s="680"/>
      <c r="G119" s="680"/>
      <c r="H119" s="680"/>
      <c r="I119" s="680"/>
      <c r="J119" s="680"/>
      <c r="K119" s="680"/>
      <c r="L119" s="680"/>
      <c r="M119" s="680"/>
      <c r="N119" s="680"/>
      <c r="O119" s="680"/>
      <c r="P119" s="681"/>
      <c r="Q119" s="679" t="str">
        <f>IF(C12="English","All uses",IF(C12="中文","所有用途","全ての用途"))</f>
        <v>所有用途</v>
      </c>
      <c r="R119" s="680"/>
      <c r="S119" s="680"/>
      <c r="T119" s="680"/>
      <c r="U119" s="680"/>
      <c r="V119" s="680"/>
      <c r="W119" s="681"/>
      <c r="X119" s="605">
        <v>30</v>
      </c>
      <c r="Y119" s="606"/>
      <c r="Z119" s="606"/>
      <c r="AA119" s="606"/>
      <c r="AB119" s="607"/>
      <c r="AC119" s="506"/>
      <c r="AD119" s="507"/>
      <c r="AE119" s="508"/>
    </row>
    <row r="120" spans="3:31" ht="80.099999999999994" customHeight="1">
      <c r="C120" s="158">
        <v>21</v>
      </c>
      <c r="D120" s="679" t="str">
        <f>IF(C12="English","Formaldehyde; Formalin
(CAS RN 50-00-0)",IF(C12="中文","甲醛；福尔马林
(CAS RN 50-00-0)","ホルムアルデヒド；ホルマリン
(CAS RN 50-00-0)"))</f>
        <v>甲醛；福尔马林
(CAS RN 50-00-0)</v>
      </c>
      <c r="E120" s="680"/>
      <c r="F120" s="680"/>
      <c r="G120" s="680"/>
      <c r="H120" s="680"/>
      <c r="I120" s="680"/>
      <c r="J120" s="680"/>
      <c r="K120" s="680"/>
      <c r="L120" s="680"/>
      <c r="M120" s="680"/>
      <c r="N120" s="680"/>
      <c r="O120" s="680"/>
      <c r="P120" s="681"/>
      <c r="Q120" s="638" t="str">
        <f>IF(C12="English","Timber products (e.g. speakers and racks, etc.) which are made of fiber boards, particle board, or plywood",IF(C12="中文","使用纤维板、刨花板以及复合板的木工产品（扬声器、架子等）","繊維板（ファイバーボード）、パーティクルボードおよび合板を用いた木工製品（スピーカー、ラック等）"))</f>
        <v>使用纤维板、刨花板以及复合板的木工产品（扬声器、架子等）</v>
      </c>
      <c r="R120" s="644"/>
      <c r="S120" s="644"/>
      <c r="T120" s="644"/>
      <c r="U120" s="644"/>
      <c r="V120" s="644"/>
      <c r="W120" s="645"/>
      <c r="X120" s="605" t="str">
        <f>IF(C12="English","0.1
（Chamber method: 
EN717-1:200)",IF(C12="中文","0.1
（测量值
密闭小室法）","0.1
（測定値
チャンバー法）"))</f>
        <v>0.1
（测量值
密闭小室法）</v>
      </c>
      <c r="Y120" s="606"/>
      <c r="Z120" s="606"/>
      <c r="AA120" s="606"/>
      <c r="AB120" s="607"/>
      <c r="AC120" s="506"/>
      <c r="AD120" s="507"/>
      <c r="AE120" s="508"/>
    </row>
    <row r="121" spans="3:31" ht="15" customHeight="1">
      <c r="C121" s="152"/>
      <c r="D121" s="167"/>
      <c r="E121" s="167"/>
      <c r="F121" s="167"/>
      <c r="G121" s="167"/>
      <c r="H121" s="167"/>
      <c r="I121" s="167"/>
      <c r="J121" s="167"/>
      <c r="K121" s="167"/>
      <c r="L121" s="167"/>
      <c r="M121" s="167"/>
      <c r="N121" s="167"/>
      <c r="O121" s="167"/>
      <c r="P121" s="167"/>
      <c r="Q121" s="165"/>
      <c r="R121" s="165"/>
      <c r="S121" s="165"/>
      <c r="T121" s="165"/>
      <c r="U121" s="165"/>
      <c r="V121" s="165"/>
      <c r="W121" s="165"/>
      <c r="X121" s="47"/>
      <c r="Y121" s="47"/>
      <c r="Z121" s="47"/>
      <c r="AA121" s="47"/>
      <c r="AB121" s="47"/>
      <c r="AC121" s="164"/>
      <c r="AD121" s="164"/>
      <c r="AE121" s="164"/>
    </row>
    <row r="122" spans="3:31" ht="80.099999999999994" customHeight="1">
      <c r="C122" s="159">
        <v>22</v>
      </c>
      <c r="D122" s="638" t="str">
        <f>IF(C12="English","Nickel and its compounds",IF(C12="中文","镍及其化合物","ニッケルおよびその化合物"))</f>
        <v>镍及其化合物</v>
      </c>
      <c r="E122" s="644"/>
      <c r="F122" s="644"/>
      <c r="G122" s="644"/>
      <c r="H122" s="644"/>
      <c r="I122" s="644"/>
      <c r="J122" s="644"/>
      <c r="K122" s="644"/>
      <c r="L122" s="644"/>
      <c r="M122" s="644"/>
      <c r="N122" s="644"/>
      <c r="O122" s="644"/>
      <c r="P122" s="645"/>
      <c r="Q122" s="523" t="str">
        <f>IF(C12="English","Parts that are in contact with human skin for a prolonged time（e.g. earphones, headphones, etc.）",IF(C12="中文","长期接触皮肤的用途（耳机、耳麦等）","長期にわたり皮膚と接触する用途(イヤホン、ヘッドホン等)"))</f>
        <v>长期接触皮肤的用途（耳机、耳麦等）</v>
      </c>
      <c r="R122" s="524"/>
      <c r="S122" s="524"/>
      <c r="T122" s="524"/>
      <c r="U122" s="524"/>
      <c r="V122" s="524"/>
      <c r="W122" s="525"/>
      <c r="X122" s="523" t="str">
        <f>IF(C12="English","0.5μg/cm2/week
Test Standard
EN1811：2011
+A1：2015",IF(C12="中文","0.5μg/cm2/week
试验标准
EN1811：2011
+A1：2015","0.5μg/cm2/week
試験規格
EN1811：2011
+A1：2015"))</f>
        <v>0.5μg/cm2/week
试验标准
EN1811：2011
+A1：2015</v>
      </c>
      <c r="Y122" s="524"/>
      <c r="Z122" s="524"/>
      <c r="AA122" s="524"/>
      <c r="AB122" s="525"/>
      <c r="AC122" s="506"/>
      <c r="AD122" s="507"/>
      <c r="AE122" s="508"/>
    </row>
    <row r="123" spans="3:31" ht="70.05" customHeight="1">
      <c r="C123" s="159">
        <v>23</v>
      </c>
      <c r="D123" s="638" t="str">
        <f>IF(C12="English","Arsenic and its compounds
(including Diarsenic trioxide, Diarsenic pentoxide）",IF(C12="中文","砷及其化合物
（包括三氧化二砷、五氧化二砷）","ヒ素およびその化合物
（三酸化二ヒ素、五酸化二ヒ素を含む）"))</f>
        <v>砷及其化合物
（包括三氧化二砷、五氧化二砷）</v>
      </c>
      <c r="E123" s="644"/>
      <c r="F123" s="644"/>
      <c r="G123" s="644"/>
      <c r="H123" s="644"/>
      <c r="I123" s="644"/>
      <c r="J123" s="644"/>
      <c r="K123" s="644"/>
      <c r="L123" s="644"/>
      <c r="M123" s="644"/>
      <c r="N123" s="644"/>
      <c r="O123" s="644"/>
      <c r="P123" s="645"/>
      <c r="Q123" s="523" t="str">
        <f>IF(C12="English","Only use of Wood preservatives, Antifoam agents or fining agents for the glasses",IF(C12="中文","仅适用于木材防腐剤、玻璃消泡剂、澄清剂等用途","木材の防腐剤、ガラスの消泡剤、清澄剤としての用途のみ適用"))</f>
        <v>仅适用于木材防腐剤、玻璃消泡剂、澄清剂等用途</v>
      </c>
      <c r="R123" s="524"/>
      <c r="S123" s="524"/>
      <c r="T123" s="524"/>
      <c r="U123" s="524"/>
      <c r="V123" s="524"/>
      <c r="W123" s="525"/>
      <c r="X123" s="630">
        <v>1000</v>
      </c>
      <c r="Y123" s="631"/>
      <c r="Z123" s="631"/>
      <c r="AA123" s="631"/>
      <c r="AB123" s="632"/>
      <c r="AC123" s="506"/>
      <c r="AD123" s="507"/>
      <c r="AE123" s="508"/>
    </row>
    <row r="124" spans="3:31" ht="30" customHeight="1">
      <c r="C124" s="159">
        <v>24</v>
      </c>
      <c r="D124" s="523" t="str">
        <f>IF(C12="English","Radioactive substances",IF(C12="中文","放射性物质","放射性物質"))</f>
        <v>放射性物质</v>
      </c>
      <c r="E124" s="524"/>
      <c r="F124" s="524"/>
      <c r="G124" s="524"/>
      <c r="H124" s="524"/>
      <c r="I124" s="524"/>
      <c r="J124" s="524"/>
      <c r="K124" s="524"/>
      <c r="L124" s="524"/>
      <c r="M124" s="524"/>
      <c r="N124" s="524"/>
      <c r="O124" s="524"/>
      <c r="P124" s="525"/>
      <c r="Q124" s="667" t="str">
        <f>IF(C12="English","All uses",IF(C12="中文","所有用途","全ての用途"))</f>
        <v>所有用途</v>
      </c>
      <c r="R124" s="668"/>
      <c r="S124" s="668"/>
      <c r="T124" s="668"/>
      <c r="U124" s="668"/>
      <c r="V124" s="668"/>
      <c r="W124" s="669"/>
      <c r="X124" s="605" t="str">
        <f>IF(C12="English","Intentionally 
added",IF(C12="中文","禁止有意添加","意図的添加禁止"))</f>
        <v>禁止有意添加</v>
      </c>
      <c r="Y124" s="606"/>
      <c r="Z124" s="606"/>
      <c r="AA124" s="606"/>
      <c r="AB124" s="607"/>
      <c r="AC124" s="506"/>
      <c r="AD124" s="507"/>
      <c r="AE124" s="508"/>
    </row>
    <row r="125" spans="3:31" ht="80.099999999999994" customHeight="1">
      <c r="C125" s="159">
        <v>25</v>
      </c>
      <c r="D125" s="679" t="str">
        <f>IF(C12="English","Perfluorooctane sulfonates (PFOS) and its salt",IF(C12="中文","全氟辛烷磺酸（PFOS）及其盐","パーフルオロオクタンスルホン酸(PFOS)およびその塩"))</f>
        <v>全氟辛烷磺酸（PFOS）及其盐</v>
      </c>
      <c r="E125" s="680"/>
      <c r="F125" s="680"/>
      <c r="G125" s="680"/>
      <c r="H125" s="680"/>
      <c r="I125" s="680"/>
      <c r="J125" s="680"/>
      <c r="K125" s="680"/>
      <c r="L125" s="680"/>
      <c r="M125" s="680"/>
      <c r="N125" s="680"/>
      <c r="O125" s="680"/>
      <c r="P125" s="681"/>
      <c r="Q125" s="679" t="str">
        <f>IF(C12="English","All uses",IF(C12="中文","所有用途","全ての用途"))</f>
        <v>所有用途</v>
      </c>
      <c r="R125" s="680"/>
      <c r="S125" s="680"/>
      <c r="T125" s="680"/>
      <c r="U125" s="680"/>
      <c r="V125" s="680"/>
      <c r="W125" s="681"/>
      <c r="X125" s="605" t="str">
        <f>IF(C12="English","Intentionally added or Article: 1,000
substances,
Mixtures: 10",IF(C12="中文","禁止有意添加
且　成形品：1,000
物質,混合物：10","意図的添加禁止
且つ
成形品：1,000
物質、調剤：10"))</f>
        <v>禁止有意添加
且　成形品：1,000
物質,混合物：10</v>
      </c>
      <c r="Y125" s="606"/>
      <c r="Z125" s="606"/>
      <c r="AA125" s="606"/>
      <c r="AB125" s="607"/>
      <c r="AC125" s="506"/>
      <c r="AD125" s="507"/>
      <c r="AE125" s="508"/>
    </row>
    <row r="126" spans="3:31" ht="135" customHeight="1">
      <c r="C126" s="158">
        <v>26</v>
      </c>
      <c r="D126" s="679" t="str">
        <f>IF(C12="English","Perfluorooctanic acids (PFOA) and its salts and PFOA-related substances(*2）",IF(C12="中文","全氟辛酸（PFOA）及其盐类和PFOA相关物质 ( *2)","パーフルオロオクタン酸（PFOA)とその塩および PFOA 関連物質（*2）"))</f>
        <v>全氟辛酸（PFOA）及其盐类和PFOA相关物质 ( *2)</v>
      </c>
      <c r="E126" s="680"/>
      <c r="F126" s="680"/>
      <c r="G126" s="680"/>
      <c r="H126" s="680"/>
      <c r="I126" s="680"/>
      <c r="J126" s="680"/>
      <c r="K126" s="680"/>
      <c r="L126" s="680"/>
      <c r="M126" s="680"/>
      <c r="N126" s="680"/>
      <c r="O126" s="680"/>
      <c r="P126" s="681"/>
      <c r="Q126" s="679" t="str">
        <f>IF(C12="English","All uses for not medical devices",IF(C12="中文","医疗器械用途之外的所有用途","医療機器用途を除く、全ての用途"))</f>
        <v>医疗器械用途之外的所有用途</v>
      </c>
      <c r="R126" s="680"/>
      <c r="S126" s="680"/>
      <c r="T126" s="680"/>
      <c r="U126" s="680"/>
      <c r="V126" s="680"/>
      <c r="W126" s="681"/>
      <c r="X126" s="682" t="str">
        <f>IF(C12="English","Intentionally added or Perfluorooctanoic acid (PFOA) and
 its salts in total : 25ppb
PFOA-related substances : 
In total
 1000ppb (1ppm)",IF(C12="中文","禁止有意添加
且
PFOA及其盐类合计
：25ppb
PFOA相关物质合計：1000ppb
　　（1ppm）
","意図的添加禁止
且つ 
パーフルオロオクタン酸 (PFOA)と
その塩の合計：25ppb
PFOA関連物質
合計：1,000ppb
(1ppm)"))</f>
        <v xml:space="preserve">禁止有意添加
且
PFOA及其盐类合计
：25ppb
PFOA相关物质合計：1000ppb
　　（1ppm）
</v>
      </c>
      <c r="Y126" s="683"/>
      <c r="Z126" s="683"/>
      <c r="AA126" s="683"/>
      <c r="AB126" s="684"/>
      <c r="AC126" s="506"/>
      <c r="AD126" s="507"/>
      <c r="AE126" s="508"/>
    </row>
    <row r="127" spans="3:31" ht="45" customHeight="1">
      <c r="C127" s="159">
        <v>27</v>
      </c>
      <c r="D127" s="679" t="str">
        <f>IF(C12="English","Long-Chain Perfluoroalkyl Carboxylate (LCPFACs)",IF(C12="中文","长链全氟烷基羧酸盐(LCPFACs)","長鎖ペルフルオロアルキルカルボン酸化合物 (LCPFACs)"))</f>
        <v>长链全氟烷基羧酸盐(LCPFACs)</v>
      </c>
      <c r="E127" s="680"/>
      <c r="F127" s="680"/>
      <c r="G127" s="680"/>
      <c r="H127" s="680"/>
      <c r="I127" s="680"/>
      <c r="J127" s="680"/>
      <c r="K127" s="680"/>
      <c r="L127" s="680"/>
      <c r="M127" s="680"/>
      <c r="N127" s="680"/>
      <c r="O127" s="680"/>
      <c r="P127" s="681"/>
      <c r="Q127" s="679" t="str">
        <f>IF(C12="English","Parts with surface coating, and material used to coat articles",IF(C12="中文","有表面涂层的零件或用于成形品涂层的材料","表面コーティングを有する部品 又は成形品をコーティングする為の材料"))</f>
        <v>有表面涂层的零件或用于成形品涂层的材料</v>
      </c>
      <c r="R127" s="680"/>
      <c r="S127" s="680"/>
      <c r="T127" s="680"/>
      <c r="U127" s="680"/>
      <c r="V127" s="680"/>
      <c r="W127" s="681"/>
      <c r="X127" s="605" t="str">
        <f>IF(C12="English","Intentionally 
added",IF(C12="中文","禁止有意添加","意図的添加禁止"))</f>
        <v>禁止有意添加</v>
      </c>
      <c r="Y127" s="606"/>
      <c r="Z127" s="606"/>
      <c r="AA127" s="606"/>
      <c r="AB127" s="607"/>
      <c r="AC127" s="506"/>
      <c r="AD127" s="507"/>
      <c r="AE127" s="508"/>
    </row>
    <row r="128" spans="3:31" ht="60" customHeight="1">
      <c r="C128" s="159">
        <v>28</v>
      </c>
      <c r="D128" s="679" t="str">
        <f>IF(C12="English","Specific benzotriazole
2-(2H-benzotriazol-2-yl)-4,6-di-tert-butylphenol
（CASRN3846-71-7）",IF(C12="中文","特定苯并三唑
2-(2H-1,2,3-苯并三唑-2-基)- 4,6-二叔丁基苯酚
（UV-320）(CAS RN 3846-71-7)","特定ベンゾトリアゾール
2-(2H-1,2,3-ベンゾトリアゾール-2-イル)-4,6-ジ-tert-ブチルフェノール（UV-320）
(CAS RN 3846-71-7)"))</f>
        <v>特定苯并三唑
2-(2H-1,2,3-苯并三唑-2-基)- 4,6-二叔丁基苯酚
（UV-320）(CAS RN 3846-71-7)</v>
      </c>
      <c r="E128" s="680"/>
      <c r="F128" s="680"/>
      <c r="G128" s="680"/>
      <c r="H128" s="680"/>
      <c r="I128" s="680"/>
      <c r="J128" s="680"/>
      <c r="K128" s="680"/>
      <c r="L128" s="680"/>
      <c r="M128" s="680"/>
      <c r="N128" s="680"/>
      <c r="O128" s="680"/>
      <c r="P128" s="681"/>
      <c r="Q128" s="679" t="str">
        <f>IF(C12="English","All uses",IF(C12="中文","所有用途","全ての用途"))</f>
        <v>所有用途</v>
      </c>
      <c r="R128" s="680"/>
      <c r="S128" s="680"/>
      <c r="T128" s="680"/>
      <c r="U128" s="680"/>
      <c r="V128" s="680"/>
      <c r="W128" s="681"/>
      <c r="X128" s="605" t="str">
        <f>IF(C12="English","Intentionally 
added",IF(C12="中文","禁止有意添加","意図的添加禁止"))</f>
        <v>禁止有意添加</v>
      </c>
      <c r="Y128" s="606"/>
      <c r="Z128" s="606"/>
      <c r="AA128" s="606"/>
      <c r="AB128" s="607"/>
      <c r="AC128" s="506"/>
      <c r="AD128" s="507"/>
      <c r="AE128" s="508"/>
    </row>
    <row r="129" spans="3:31" ht="40.049999999999997" customHeight="1">
      <c r="C129" s="159">
        <v>29</v>
      </c>
      <c r="D129" s="638" t="str">
        <f>IF(C12="English","Cobalt chloride
(CASRN7646-79-9)",IF(C12="中文","氯化钴
(CAS RN 7646-79-9)","塩化コバルト
(CAS RN 7646-79-9)"))</f>
        <v>氯化钴
(CAS RN 7646-79-9)</v>
      </c>
      <c r="E129" s="644"/>
      <c r="F129" s="644"/>
      <c r="G129" s="644"/>
      <c r="H129" s="644"/>
      <c r="I129" s="644"/>
      <c r="J129" s="644"/>
      <c r="K129" s="644"/>
      <c r="L129" s="644"/>
      <c r="M129" s="644"/>
      <c r="N129" s="644"/>
      <c r="O129" s="644"/>
      <c r="P129" s="645"/>
      <c r="Q129" s="667" t="str">
        <f>IF(C12="English","All uses",IF(C12="中文","所有用途","全ての用途"))</f>
        <v>所有用途</v>
      </c>
      <c r="R129" s="668"/>
      <c r="S129" s="668"/>
      <c r="T129" s="668"/>
      <c r="U129" s="668"/>
      <c r="V129" s="668"/>
      <c r="W129" s="669"/>
      <c r="X129" s="605" t="str">
        <f>IF(C12="English","Intentionally added or 1,000",IF(C12="中文","禁止有意添加
且　1,000","意図的添加禁止
且つ 1,000"))</f>
        <v>禁止有意添加
且　1,000</v>
      </c>
      <c r="Y129" s="606"/>
      <c r="Z129" s="606"/>
      <c r="AA129" s="606"/>
      <c r="AB129" s="607"/>
      <c r="AC129" s="506"/>
      <c r="AD129" s="507"/>
      <c r="AE129" s="508"/>
    </row>
    <row r="130" spans="3:31" ht="40.049999999999997" customHeight="1">
      <c r="C130" s="159">
        <v>30</v>
      </c>
      <c r="D130" s="638" t="str">
        <f>IF(C12="English","Beryllium oxide 
(CASRN1304-56-9)",IF(C12="中文","氧化铍
(CAS RN 1304-56-9)","酸化ベリリウム
(CAS RN 1304-56-9)"))</f>
        <v>氧化铍
(CAS RN 1304-56-9)</v>
      </c>
      <c r="E130" s="644"/>
      <c r="F130" s="644"/>
      <c r="G130" s="644"/>
      <c r="H130" s="644"/>
      <c r="I130" s="644"/>
      <c r="J130" s="644"/>
      <c r="K130" s="644"/>
      <c r="L130" s="644"/>
      <c r="M130" s="644"/>
      <c r="N130" s="644"/>
      <c r="O130" s="644"/>
      <c r="P130" s="645"/>
      <c r="Q130" s="667" t="str">
        <f>IF(C12="English","All uses",IF(C12="中文","所有用途","全ての用途"))</f>
        <v>所有用途</v>
      </c>
      <c r="R130" s="668"/>
      <c r="S130" s="668"/>
      <c r="T130" s="668"/>
      <c r="U130" s="668"/>
      <c r="V130" s="668"/>
      <c r="W130" s="669"/>
      <c r="X130" s="605" t="str">
        <f>IF(C12="English","Intentionally added or 1,000",IF(C12="中文","禁止有意添加
且　1,000","意図的添加禁止
且つ 1,000"))</f>
        <v>禁止有意添加
且　1,000</v>
      </c>
      <c r="Y130" s="606"/>
      <c r="Z130" s="606"/>
      <c r="AA130" s="606"/>
      <c r="AB130" s="607"/>
      <c r="AC130" s="506"/>
      <c r="AD130" s="507"/>
      <c r="AE130" s="508"/>
    </row>
    <row r="131" spans="3:31" ht="30" customHeight="1">
      <c r="C131" s="159">
        <v>31</v>
      </c>
      <c r="D131" s="679" t="str">
        <f>IF(C12="English","Dimetylfumarate (DMF)
(CASRN624-49-7)",IF(C12="中文","富马酸二甲酯(DMF)
(CAS RN 624-49-7)","フマル酸ジメチル(DMF)
(CAS RN 624-49-7)"))</f>
        <v>富马酸二甲酯(DMF)
(CAS RN 624-49-7)</v>
      </c>
      <c r="E131" s="680"/>
      <c r="F131" s="680"/>
      <c r="G131" s="680"/>
      <c r="H131" s="680"/>
      <c r="I131" s="680"/>
      <c r="J131" s="680"/>
      <c r="K131" s="680"/>
      <c r="L131" s="680"/>
      <c r="M131" s="680"/>
      <c r="N131" s="680"/>
      <c r="O131" s="680"/>
      <c r="P131" s="681"/>
      <c r="Q131" s="679" t="str">
        <f>IF(C12="English","All uses",IF(C12="中文","所有用途","全ての用途"))</f>
        <v>所有用途</v>
      </c>
      <c r="R131" s="680"/>
      <c r="S131" s="680"/>
      <c r="T131" s="680"/>
      <c r="U131" s="680"/>
      <c r="V131" s="680"/>
      <c r="W131" s="681"/>
      <c r="X131" s="605">
        <v>0.1</v>
      </c>
      <c r="Y131" s="606"/>
      <c r="Z131" s="606"/>
      <c r="AA131" s="606"/>
      <c r="AB131" s="607"/>
      <c r="AC131" s="506"/>
      <c r="AD131" s="507"/>
      <c r="AE131" s="508"/>
    </row>
    <row r="132" spans="3:31" ht="30" customHeight="1">
      <c r="C132" s="159">
        <v>32</v>
      </c>
      <c r="D132" s="679" t="str">
        <f>IF(C12="English","Tris(2-chloroethyl) phosphate（TCEP）(CAS RN 115-96-8)",IF(C12="中文","磷酸三（2-氯乙基）酯（TCEP）(CAS RN 115-96-8)","リン酸トリス（2-クロロエチル）（TCEP）(CAS RN 115-96-8)"))</f>
        <v>磷酸三（2-氯乙基）酯（TCEP）(CAS RN 115-96-8)</v>
      </c>
      <c r="E132" s="680"/>
      <c r="F132" s="680"/>
      <c r="G132" s="680"/>
      <c r="H132" s="680"/>
      <c r="I132" s="680"/>
      <c r="J132" s="680"/>
      <c r="K132" s="680"/>
      <c r="L132" s="680"/>
      <c r="M132" s="680"/>
      <c r="N132" s="680"/>
      <c r="O132" s="680"/>
      <c r="P132" s="681"/>
      <c r="Q132" s="679" t="str">
        <f>IF(C12="English","All uses",IF(C12="中文","所有用途","全ての用途"))</f>
        <v>所有用途</v>
      </c>
      <c r="R132" s="680"/>
      <c r="S132" s="680"/>
      <c r="T132" s="680"/>
      <c r="U132" s="680"/>
      <c r="V132" s="680"/>
      <c r="W132" s="681"/>
      <c r="X132" s="630">
        <v>1000</v>
      </c>
      <c r="Y132" s="631"/>
      <c r="Z132" s="631"/>
      <c r="AA132" s="631"/>
      <c r="AB132" s="632"/>
      <c r="AC132" s="506"/>
      <c r="AD132" s="507"/>
      <c r="AE132" s="508"/>
    </row>
    <row r="133" spans="3:31" ht="30" customHeight="1">
      <c r="C133" s="159">
        <v>33</v>
      </c>
      <c r="D133" s="679" t="str">
        <f>IF(C12="English","Tris(1-chloro-2- propyl) phosphate（TCPP）(CAS RN 13674-84-5)",IF(C12="中文","磷酸三（1-氯-2-丙基）酯（TCPP）(CAS RN 13674-84-5)","リン酸トリス（1-クロロ-2-プロピル）（TCPP）(CAS RN 13674-84-5)"))</f>
        <v>磷酸三（1-氯-2-丙基）酯（TCPP）(CAS RN 13674-84-5)</v>
      </c>
      <c r="E133" s="680"/>
      <c r="F133" s="680"/>
      <c r="G133" s="680"/>
      <c r="H133" s="680"/>
      <c r="I133" s="680"/>
      <c r="J133" s="680"/>
      <c r="K133" s="680"/>
      <c r="L133" s="680"/>
      <c r="M133" s="680"/>
      <c r="N133" s="680"/>
      <c r="O133" s="680"/>
      <c r="P133" s="681"/>
      <c r="Q133" s="679" t="str">
        <f>IF(C12="English","Use of flame retardants for resin or textile",IF(C12="中文","用于树脂、纤维的阻燃剂用途","樹脂、繊維への難燃剤用途"))</f>
        <v>用于树脂、纤维的阻燃剂用途</v>
      </c>
      <c r="R133" s="680"/>
      <c r="S133" s="680"/>
      <c r="T133" s="680"/>
      <c r="U133" s="680"/>
      <c r="V133" s="680"/>
      <c r="W133" s="681"/>
      <c r="X133" s="630">
        <v>1000</v>
      </c>
      <c r="Y133" s="631"/>
      <c r="Z133" s="631"/>
      <c r="AA133" s="631"/>
      <c r="AB133" s="632"/>
      <c r="AC133" s="506"/>
      <c r="AD133" s="507"/>
      <c r="AE133" s="508"/>
    </row>
    <row r="134" spans="3:31" ht="30" customHeight="1">
      <c r="C134" s="159">
        <v>34</v>
      </c>
      <c r="D134" s="638" t="str">
        <f>IF(C12="English","Tris(1,3-dichloro-2-propyl) phosphate（TDCPP）(CAS RN 13674-87-8)",IF(C12="中文","磷酸三（1,3-二氯-2-丙基）酯（TDCPP）(CAS RN 13674-87-8)","リン酸トリス（1,3-ジクロロ-2-プロピル）（TDCPP）(CAS RN 13674-87-8)"))</f>
        <v>磷酸三（1,3-二氯-2-丙基）酯（TDCPP）(CAS RN 13674-87-8)</v>
      </c>
      <c r="E134" s="644"/>
      <c r="F134" s="644"/>
      <c r="G134" s="644"/>
      <c r="H134" s="644"/>
      <c r="I134" s="644"/>
      <c r="J134" s="644"/>
      <c r="K134" s="644"/>
      <c r="L134" s="644"/>
      <c r="M134" s="644"/>
      <c r="N134" s="644"/>
      <c r="O134" s="644"/>
      <c r="P134" s="645"/>
      <c r="Q134" s="679" t="str">
        <f>IF(C12="English","Use of flame retardants for resin or textile",IF(C12="中文","用于树脂、纤维的阻燃剂用途","樹脂、繊維への難燃剤用途"))</f>
        <v>用于树脂、纤维的阻燃剂用途</v>
      </c>
      <c r="R134" s="680"/>
      <c r="S134" s="680"/>
      <c r="T134" s="680"/>
      <c r="U134" s="680"/>
      <c r="V134" s="680"/>
      <c r="W134" s="681"/>
      <c r="X134" s="630">
        <v>1000</v>
      </c>
      <c r="Y134" s="631"/>
      <c r="Z134" s="631"/>
      <c r="AA134" s="631"/>
      <c r="AB134" s="632"/>
      <c r="AC134" s="506"/>
      <c r="AD134" s="507"/>
      <c r="AE134" s="508"/>
    </row>
    <row r="135" spans="3:31" ht="40.049999999999997" customHeight="1">
      <c r="C135" s="158">
        <v>35</v>
      </c>
      <c r="D135" s="679" t="str">
        <f>IF(C12="English","Hexabromocyclododecane (HBCDD) and all major diastereoisomers identified",IF(C12="中文","六溴环十二烷（HBCDD）以及所有主要非对映体","ヘキサブロモシクロドデカン（HBCDD）および全主要ジアステレオマー"))</f>
        <v>六溴环十二烷（HBCDD）以及所有主要非对映体</v>
      </c>
      <c r="E135" s="680"/>
      <c r="F135" s="680"/>
      <c r="G135" s="680"/>
      <c r="H135" s="680"/>
      <c r="I135" s="680"/>
      <c r="J135" s="680"/>
      <c r="K135" s="680"/>
      <c r="L135" s="680"/>
      <c r="M135" s="680"/>
      <c r="N135" s="680"/>
      <c r="O135" s="680"/>
      <c r="P135" s="681"/>
      <c r="Q135" s="679" t="str">
        <f>IF(C12="English","All uses",IF(C12="中文","所有用途","全ての用途"))</f>
        <v>所有用途</v>
      </c>
      <c r="R135" s="680"/>
      <c r="S135" s="680"/>
      <c r="T135" s="680"/>
      <c r="U135" s="680"/>
      <c r="V135" s="680"/>
      <c r="W135" s="681"/>
      <c r="X135" s="605" t="str">
        <f>IF(C12="English","Intentionally added or 100",IF(C12="中文","禁止有意添加
且　100","意図的添加禁止
且つ 100"))</f>
        <v>禁止有意添加
且　100</v>
      </c>
      <c r="Y135" s="606"/>
      <c r="Z135" s="606"/>
      <c r="AA135" s="606"/>
      <c r="AB135" s="607"/>
      <c r="AC135" s="506"/>
      <c r="AD135" s="507"/>
      <c r="AE135" s="508"/>
    </row>
    <row r="136" spans="3:31" ht="15" customHeight="1">
      <c r="C136" s="152"/>
      <c r="D136" s="165"/>
      <c r="E136" s="165"/>
      <c r="F136" s="165"/>
      <c r="G136" s="165"/>
      <c r="H136" s="165"/>
      <c r="I136" s="165"/>
      <c r="J136" s="165"/>
      <c r="K136" s="165"/>
      <c r="L136" s="165"/>
      <c r="M136" s="165"/>
      <c r="N136" s="165"/>
      <c r="O136" s="165"/>
      <c r="P136" s="165"/>
      <c r="Q136" s="163"/>
      <c r="R136" s="163"/>
      <c r="S136" s="163"/>
      <c r="T136" s="163"/>
      <c r="U136" s="163"/>
      <c r="V136" s="163"/>
      <c r="W136" s="163"/>
      <c r="X136" s="162"/>
      <c r="Y136" s="162"/>
      <c r="Z136" s="162"/>
      <c r="AA136" s="162"/>
      <c r="AB136" s="162"/>
      <c r="AC136" s="164"/>
      <c r="AD136" s="164"/>
      <c r="AE136" s="164"/>
    </row>
    <row r="137" spans="3:31" ht="15" customHeight="1">
      <c r="C137" s="152"/>
      <c r="D137" s="165"/>
      <c r="E137" s="165"/>
      <c r="F137" s="165"/>
      <c r="G137" s="165"/>
      <c r="H137" s="165"/>
      <c r="I137" s="165"/>
      <c r="J137" s="165"/>
      <c r="K137" s="165"/>
      <c r="L137" s="165"/>
      <c r="M137" s="165"/>
      <c r="N137" s="165"/>
      <c r="O137" s="165"/>
      <c r="P137" s="165"/>
      <c r="Q137" s="163"/>
      <c r="R137" s="163"/>
      <c r="S137" s="163"/>
      <c r="T137" s="163"/>
      <c r="U137" s="163"/>
      <c r="V137" s="163"/>
      <c r="W137" s="163"/>
      <c r="X137" s="162"/>
      <c r="Y137" s="162"/>
      <c r="Z137" s="162"/>
      <c r="AA137" s="162"/>
      <c r="AB137" s="162"/>
      <c r="AC137" s="164"/>
      <c r="AD137" s="164"/>
      <c r="AE137" s="164"/>
    </row>
    <row r="138" spans="3:31" ht="15" customHeight="1">
      <c r="C138" s="152"/>
      <c r="D138" s="165"/>
      <c r="E138" s="165"/>
      <c r="F138" s="165"/>
      <c r="G138" s="165"/>
      <c r="H138" s="165"/>
      <c r="I138" s="165"/>
      <c r="J138" s="165"/>
      <c r="K138" s="165"/>
      <c r="L138" s="165"/>
      <c r="M138" s="165"/>
      <c r="N138" s="165"/>
      <c r="O138" s="165"/>
      <c r="P138" s="165"/>
      <c r="Q138" s="163"/>
      <c r="R138" s="163"/>
      <c r="S138" s="163"/>
      <c r="T138" s="163"/>
      <c r="U138" s="163"/>
      <c r="V138" s="163"/>
      <c r="W138" s="163"/>
      <c r="X138" s="162"/>
      <c r="Y138" s="162"/>
      <c r="Z138" s="162"/>
      <c r="AA138" s="162"/>
      <c r="AB138" s="162"/>
      <c r="AC138" s="164"/>
      <c r="AD138" s="164"/>
      <c r="AE138" s="164"/>
    </row>
    <row r="139" spans="3:31" ht="15" customHeight="1">
      <c r="C139" s="152"/>
      <c r="D139" s="165"/>
      <c r="E139" s="165"/>
      <c r="F139" s="165"/>
      <c r="G139" s="165"/>
      <c r="H139" s="165"/>
      <c r="I139" s="165"/>
      <c r="J139" s="165"/>
      <c r="K139" s="165"/>
      <c r="L139" s="165"/>
      <c r="M139" s="165"/>
      <c r="N139" s="165"/>
      <c r="O139" s="165"/>
      <c r="P139" s="165"/>
      <c r="Q139" s="163"/>
      <c r="R139" s="163"/>
      <c r="S139" s="163"/>
      <c r="T139" s="163"/>
      <c r="U139" s="163"/>
      <c r="V139" s="163"/>
      <c r="W139" s="163"/>
      <c r="X139" s="162"/>
      <c r="Y139" s="162"/>
      <c r="Z139" s="162"/>
      <c r="AA139" s="162"/>
      <c r="AB139" s="162"/>
      <c r="AC139" s="164"/>
      <c r="AD139" s="164"/>
      <c r="AE139" s="164"/>
    </row>
    <row r="140" spans="3:31" ht="15" customHeight="1">
      <c r="C140" s="152"/>
      <c r="D140" s="165"/>
      <c r="E140" s="165"/>
      <c r="F140" s="165"/>
      <c r="G140" s="165"/>
      <c r="H140" s="165"/>
      <c r="I140" s="165"/>
      <c r="J140" s="165"/>
      <c r="K140" s="165"/>
      <c r="L140" s="165"/>
      <c r="M140" s="165"/>
      <c r="N140" s="165"/>
      <c r="O140" s="165"/>
      <c r="P140" s="165"/>
      <c r="Q140" s="163"/>
      <c r="R140" s="163"/>
      <c r="S140" s="163"/>
      <c r="T140" s="163"/>
      <c r="U140" s="163"/>
      <c r="V140" s="163"/>
      <c r="W140" s="163"/>
      <c r="X140" s="162"/>
      <c r="Y140" s="162"/>
      <c r="Z140" s="162"/>
      <c r="AA140" s="162"/>
      <c r="AB140" s="162"/>
      <c r="AC140" s="164"/>
      <c r="AD140" s="164"/>
      <c r="AE140" s="164"/>
    </row>
    <row r="141" spans="3:31" ht="15" customHeight="1">
      <c r="C141" s="152"/>
      <c r="D141" s="165"/>
      <c r="E141" s="165"/>
      <c r="F141" s="165"/>
      <c r="G141" s="165"/>
      <c r="H141" s="165"/>
      <c r="I141" s="165"/>
      <c r="J141" s="165"/>
      <c r="K141" s="165"/>
      <c r="L141" s="165"/>
      <c r="M141" s="165"/>
      <c r="N141" s="165"/>
      <c r="O141" s="165"/>
      <c r="P141" s="165"/>
      <c r="Q141" s="163"/>
      <c r="R141" s="163"/>
      <c r="S141" s="163"/>
      <c r="T141" s="163"/>
      <c r="U141" s="163"/>
      <c r="V141" s="163"/>
      <c r="W141" s="163"/>
      <c r="X141" s="162"/>
      <c r="Y141" s="162"/>
      <c r="Z141" s="162"/>
      <c r="AA141" s="162"/>
      <c r="AB141" s="162"/>
      <c r="AC141" s="164"/>
      <c r="AD141" s="164"/>
      <c r="AE141" s="164"/>
    </row>
    <row r="142" spans="3:31" ht="15" customHeight="1">
      <c r="C142" s="152"/>
      <c r="D142" s="165"/>
      <c r="E142" s="165"/>
      <c r="F142" s="165"/>
      <c r="G142" s="165"/>
      <c r="H142" s="165"/>
      <c r="I142" s="165"/>
      <c r="J142" s="165"/>
      <c r="K142" s="165"/>
      <c r="L142" s="165"/>
      <c r="M142" s="165"/>
      <c r="N142" s="165"/>
      <c r="O142" s="165"/>
      <c r="P142" s="165"/>
      <c r="Q142" s="163"/>
      <c r="R142" s="163"/>
      <c r="S142" s="163"/>
      <c r="T142" s="163"/>
      <c r="U142" s="163"/>
      <c r="V142" s="163"/>
      <c r="W142" s="163"/>
      <c r="X142" s="162"/>
      <c r="Y142" s="162"/>
      <c r="Z142" s="162"/>
      <c r="AA142" s="162"/>
      <c r="AB142" s="162"/>
      <c r="AC142" s="164"/>
      <c r="AD142" s="164"/>
      <c r="AE142" s="164"/>
    </row>
    <row r="143" spans="3:31" ht="15" customHeight="1">
      <c r="C143" s="152"/>
      <c r="D143" s="165"/>
      <c r="E143" s="165"/>
      <c r="F143" s="165"/>
      <c r="G143" s="165"/>
      <c r="H143" s="165"/>
      <c r="I143" s="165"/>
      <c r="J143" s="165"/>
      <c r="K143" s="165"/>
      <c r="L143" s="165"/>
      <c r="M143" s="165"/>
      <c r="N143" s="165"/>
      <c r="O143" s="165"/>
      <c r="P143" s="165"/>
      <c r="Q143" s="163"/>
      <c r="R143" s="163"/>
      <c r="S143" s="163"/>
      <c r="T143" s="163"/>
      <c r="U143" s="163"/>
      <c r="V143" s="163"/>
      <c r="W143" s="163"/>
      <c r="X143" s="162"/>
      <c r="Y143" s="162"/>
      <c r="Z143" s="162"/>
      <c r="AA143" s="162"/>
      <c r="AB143" s="162"/>
      <c r="AC143" s="164"/>
      <c r="AD143" s="164"/>
      <c r="AE143" s="164"/>
    </row>
    <row r="144" spans="3:31" ht="20.100000000000001" customHeight="1">
      <c r="C144" s="520">
        <v>36</v>
      </c>
      <c r="D144" s="523" t="str">
        <f>IF(C12="English","PAHs(8 substances below)",IF(C12="中文","PAHs （下述8种物质）","PAHs （下記8物質）"))</f>
        <v>PAHs （下述8种物质）</v>
      </c>
      <c r="E144" s="524"/>
      <c r="F144" s="524"/>
      <c r="G144" s="524"/>
      <c r="H144" s="524"/>
      <c r="I144" s="524"/>
      <c r="J144" s="524"/>
      <c r="K144" s="524"/>
      <c r="L144" s="524"/>
      <c r="M144" s="524"/>
      <c r="N144" s="524"/>
      <c r="O144" s="524"/>
      <c r="P144" s="525"/>
      <c r="Q144" s="526" t="str">
        <f>IF(C12="English","Rubber and plastic parts that come into direct as well as prolonged or short-term repetitive contact with the human skin or the oral cavity: Articles other than toys",IF(C12="中文","长期或反复直接接触皮肤或口腔的橡胶或塑料部件: 玩具以外的成形品","直接皮膚や口腔に長期、繰り返し接触するゴムやプラスチック部品: 玩具以外の成形品"))</f>
        <v>长期或反复直接接触皮肤或口腔的橡胶或塑料部件: 玩具以外的成形品</v>
      </c>
      <c r="R144" s="635"/>
      <c r="S144" s="635"/>
      <c r="T144" s="635"/>
      <c r="U144" s="635"/>
      <c r="V144" s="635"/>
      <c r="W144" s="636"/>
      <c r="X144" s="541" t="str">
        <f>IF(C12="English","Each substance:
1.0",IF(C12="中文","各成分: 1.0","各成分: 1.0"))</f>
        <v>各成分: 1.0</v>
      </c>
      <c r="Y144" s="542"/>
      <c r="Z144" s="542"/>
      <c r="AA144" s="542"/>
      <c r="AB144" s="543"/>
      <c r="AC144" s="547"/>
      <c r="AD144" s="548"/>
      <c r="AE144" s="549"/>
    </row>
    <row r="145" spans="3:31" ht="25.05" customHeight="1">
      <c r="C145" s="521"/>
      <c r="D145" s="550" t="str">
        <f>IF(C12="English","Benzo[a]pyrene (CAS RN 50-32-8)",IF(C12="中文","苯并[a]芘  (CAS RN 50-32-8)","ベンゾ[a]ピレン  (CAS RN 50-32-8)"))</f>
        <v>苯并[a]芘  (CAS RN 50-32-8)</v>
      </c>
      <c r="E145" s="551"/>
      <c r="F145" s="551"/>
      <c r="G145" s="551"/>
      <c r="H145" s="551"/>
      <c r="I145" s="551"/>
      <c r="J145" s="551"/>
      <c r="K145" s="551"/>
      <c r="L145" s="551"/>
      <c r="M145" s="551"/>
      <c r="N145" s="551"/>
      <c r="O145" s="551"/>
      <c r="P145" s="552"/>
      <c r="Q145" s="685"/>
      <c r="R145" s="686"/>
      <c r="S145" s="686"/>
      <c r="T145" s="686"/>
      <c r="U145" s="686"/>
      <c r="V145" s="686"/>
      <c r="W145" s="687"/>
      <c r="X145" s="544"/>
      <c r="Y145" s="545"/>
      <c r="Z145" s="545"/>
      <c r="AA145" s="545"/>
      <c r="AB145" s="546"/>
      <c r="AC145" s="506"/>
      <c r="AD145" s="507"/>
      <c r="AE145" s="508"/>
    </row>
    <row r="146" spans="3:31" ht="25.05" customHeight="1">
      <c r="C146" s="521"/>
      <c r="D146" s="503" t="str">
        <f>IF(C12="English","Benzo[e]pyrene (CAS RN 192-97-2)",IF(C12="中文","苯并[e]芘  (CAS RN 192-97-2)","ベンゾ[e]ピレン  (CAS RN 192-97-2)"))</f>
        <v>苯并[e]芘  (CAS RN 192-97-2)</v>
      </c>
      <c r="E146" s="504"/>
      <c r="F146" s="504"/>
      <c r="G146" s="504"/>
      <c r="H146" s="504"/>
      <c r="I146" s="504"/>
      <c r="J146" s="504"/>
      <c r="K146" s="504"/>
      <c r="L146" s="504"/>
      <c r="M146" s="504"/>
      <c r="N146" s="504"/>
      <c r="O146" s="504"/>
      <c r="P146" s="505"/>
      <c r="Q146" s="685"/>
      <c r="R146" s="686"/>
      <c r="S146" s="686"/>
      <c r="T146" s="686"/>
      <c r="U146" s="686"/>
      <c r="V146" s="686"/>
      <c r="W146" s="687"/>
      <c r="X146" s="544"/>
      <c r="Y146" s="545"/>
      <c r="Z146" s="545"/>
      <c r="AA146" s="545"/>
      <c r="AB146" s="546"/>
      <c r="AC146" s="506"/>
      <c r="AD146" s="507"/>
      <c r="AE146" s="508"/>
    </row>
    <row r="147" spans="3:31" ht="25.05" customHeight="1">
      <c r="C147" s="521"/>
      <c r="D147" s="503" t="str">
        <f>IF(C12="English","Benz[a]anthracene (CAS RN 56-55-3)",IF(C12="中文","苯并[a]蒽  (CAS RN 56-55-3)","ベンゾ[a]アントラセン  (CAS RN 56-55-3)"))</f>
        <v>苯并[a]蒽  (CAS RN 56-55-3)</v>
      </c>
      <c r="E147" s="504"/>
      <c r="F147" s="504"/>
      <c r="G147" s="504"/>
      <c r="H147" s="504"/>
      <c r="I147" s="504"/>
      <c r="J147" s="504"/>
      <c r="K147" s="504"/>
      <c r="L147" s="504"/>
      <c r="M147" s="504"/>
      <c r="N147" s="504"/>
      <c r="O147" s="504"/>
      <c r="P147" s="505"/>
      <c r="Q147" s="685"/>
      <c r="R147" s="686"/>
      <c r="S147" s="686"/>
      <c r="T147" s="686"/>
      <c r="U147" s="686"/>
      <c r="V147" s="686"/>
      <c r="W147" s="687"/>
      <c r="X147" s="544"/>
      <c r="Y147" s="545"/>
      <c r="Z147" s="545"/>
      <c r="AA147" s="545"/>
      <c r="AB147" s="546"/>
      <c r="AC147" s="506"/>
      <c r="AD147" s="507"/>
      <c r="AE147" s="508"/>
    </row>
    <row r="148" spans="3:31" ht="25.05" customHeight="1">
      <c r="C148" s="521"/>
      <c r="D148" s="503" t="str">
        <f>IF(C12="English","Chrysene (CAS RN 218-01-9)",IF(C12="中文","屈  (CAS RN 218-01-9)","クリセン  (CAS RN 218-01-9)"))</f>
        <v>屈  (CAS RN 218-01-9)</v>
      </c>
      <c r="E148" s="504"/>
      <c r="F148" s="504"/>
      <c r="G148" s="504"/>
      <c r="H148" s="504"/>
      <c r="I148" s="504"/>
      <c r="J148" s="504"/>
      <c r="K148" s="504"/>
      <c r="L148" s="504"/>
      <c r="M148" s="504"/>
      <c r="N148" s="504"/>
      <c r="O148" s="504"/>
      <c r="P148" s="505"/>
      <c r="Q148" s="688"/>
      <c r="R148" s="689"/>
      <c r="S148" s="689"/>
      <c r="T148" s="689"/>
      <c r="U148" s="689"/>
      <c r="V148" s="689"/>
      <c r="W148" s="690"/>
      <c r="X148" s="544"/>
      <c r="Y148" s="545"/>
      <c r="Z148" s="545"/>
      <c r="AA148" s="545"/>
      <c r="AB148" s="546"/>
      <c r="AC148" s="506"/>
      <c r="AD148" s="507"/>
      <c r="AE148" s="508"/>
    </row>
    <row r="149" spans="3:31" ht="25.05" customHeight="1">
      <c r="C149" s="521"/>
      <c r="D149" s="503" t="str">
        <f>IF(C12="English","Benzo[b]fluoranthene (CAS RN 205-99-2)",IF(C12="中文","苯并[b]荧蒽  (CAS RN 205-99-2)","ベンゾ[b]フルオランテン  (CAS RN 205-99-2)"))</f>
        <v>苯并[b]荧蒽  (CAS RN 205-99-2)</v>
      </c>
      <c r="E149" s="504"/>
      <c r="F149" s="504"/>
      <c r="G149" s="504"/>
      <c r="H149" s="504"/>
      <c r="I149" s="504"/>
      <c r="J149" s="504"/>
      <c r="K149" s="504"/>
      <c r="L149" s="504"/>
      <c r="M149" s="504"/>
      <c r="N149" s="504"/>
      <c r="O149" s="504"/>
      <c r="P149" s="505"/>
      <c r="Q149" s="691" t="str">
        <f>IF(C12="English","Rubber and plastic parts that come into direct as well as prolonged or short-term repetitive contact with the human skin or the oral cavity: Toys",IF(C12="中文","长期或反复直接接触皮肤或口腔的橡胶或塑料部件: 玩具","直接皮膚や口腔に長期、繰り返し接触するゴムやプラスチック部品: 玩具"))</f>
        <v>长期或反复直接接触皮肤或口腔的橡胶或塑料部件: 玩具</v>
      </c>
      <c r="R149" s="692"/>
      <c r="S149" s="692"/>
      <c r="T149" s="692"/>
      <c r="U149" s="692"/>
      <c r="V149" s="692"/>
      <c r="W149" s="693"/>
      <c r="X149" s="544"/>
      <c r="Y149" s="697"/>
      <c r="Z149" s="699" t="str">
        <f>IF(C12="English","Each substance:
0.5",IF(C12="中文","各成分: 0.5","各成分0.5"))</f>
        <v>各成分: 0.5</v>
      </c>
      <c r="AA149" s="700"/>
      <c r="AB149" s="701"/>
      <c r="AC149" s="506"/>
      <c r="AD149" s="507"/>
      <c r="AE149" s="508"/>
    </row>
    <row r="150" spans="3:31" ht="35.1" customHeight="1">
      <c r="C150" s="521"/>
      <c r="D150" s="503" t="str">
        <f>IF(C12="English","Benzo[j]fluoranthene solution  (CAS RN205-82-3)",IF(C12="中文","苯并[j]荧蒽  (CAS RN 205-82-3)","ベンゾ[j]フルオランテン  (CAS RN 205-82-3)"))</f>
        <v>苯并[j]荧蒽  (CAS RN 205-82-3)</v>
      </c>
      <c r="E150" s="504"/>
      <c r="F150" s="504"/>
      <c r="G150" s="504"/>
      <c r="H150" s="504"/>
      <c r="I150" s="504"/>
      <c r="J150" s="504"/>
      <c r="K150" s="504"/>
      <c r="L150" s="504"/>
      <c r="M150" s="504"/>
      <c r="N150" s="504"/>
      <c r="O150" s="504"/>
      <c r="P150" s="505"/>
      <c r="Q150" s="685"/>
      <c r="R150" s="686"/>
      <c r="S150" s="686"/>
      <c r="T150" s="686"/>
      <c r="U150" s="686"/>
      <c r="V150" s="686"/>
      <c r="W150" s="687"/>
      <c r="X150" s="544"/>
      <c r="Y150" s="697"/>
      <c r="Z150" s="702"/>
      <c r="AA150" s="703"/>
      <c r="AB150" s="704"/>
      <c r="AC150" s="506"/>
      <c r="AD150" s="507"/>
      <c r="AE150" s="508"/>
    </row>
    <row r="151" spans="3:31" ht="25.05" customHeight="1">
      <c r="C151" s="521"/>
      <c r="D151" s="503" t="str">
        <f>IF(C12="English","Benzo[k]fluoranthene  (CAS RN 207-08-9)",IF(C12="中文","苯并[k]荧蒽  (CAS RN 207-08-9)","ベンゾ[k]フルオランテン  (CAS RN 207-08-9)"))</f>
        <v>苯并[k]荧蒽  (CAS RN 207-08-9)</v>
      </c>
      <c r="E151" s="504"/>
      <c r="F151" s="504"/>
      <c r="G151" s="504"/>
      <c r="H151" s="504"/>
      <c r="I151" s="504"/>
      <c r="J151" s="504"/>
      <c r="K151" s="504"/>
      <c r="L151" s="504"/>
      <c r="M151" s="504"/>
      <c r="N151" s="504"/>
      <c r="O151" s="504"/>
      <c r="P151" s="505"/>
      <c r="Q151" s="685"/>
      <c r="R151" s="686"/>
      <c r="S151" s="686"/>
      <c r="T151" s="686"/>
      <c r="U151" s="686"/>
      <c r="V151" s="686"/>
      <c r="W151" s="687"/>
      <c r="X151" s="544"/>
      <c r="Y151" s="697"/>
      <c r="Z151" s="702"/>
      <c r="AA151" s="703"/>
      <c r="AB151" s="704"/>
      <c r="AC151" s="506"/>
      <c r="AD151" s="507"/>
      <c r="AE151" s="508"/>
    </row>
    <row r="152" spans="3:31" ht="25.05" customHeight="1">
      <c r="C152" s="522"/>
      <c r="D152" s="509" t="str">
        <f>IF(C12="English","Dibenz[a,h]anthracen  (CAS RN 53-70-3)",IF(C12="中文","二苯并[a，h]蒽  (CAS RN 53-70-3)","ジベンゾ[a,h]アントラセン  (CAS RN 53-70-3)"))</f>
        <v>二苯并[a，h]蒽  (CAS RN 53-70-3)</v>
      </c>
      <c r="E152" s="510"/>
      <c r="F152" s="510"/>
      <c r="G152" s="510"/>
      <c r="H152" s="510"/>
      <c r="I152" s="510"/>
      <c r="J152" s="510"/>
      <c r="K152" s="510"/>
      <c r="L152" s="510"/>
      <c r="M152" s="510"/>
      <c r="N152" s="510"/>
      <c r="O152" s="510"/>
      <c r="P152" s="511"/>
      <c r="Q152" s="694"/>
      <c r="R152" s="695"/>
      <c r="S152" s="695"/>
      <c r="T152" s="695"/>
      <c r="U152" s="695"/>
      <c r="V152" s="695"/>
      <c r="W152" s="696"/>
      <c r="X152" s="661"/>
      <c r="Y152" s="698"/>
      <c r="Z152" s="705"/>
      <c r="AA152" s="706"/>
      <c r="AB152" s="707"/>
      <c r="AC152" s="506"/>
      <c r="AD152" s="507"/>
      <c r="AE152" s="508"/>
    </row>
    <row r="153" spans="3:31" ht="30" customHeight="1">
      <c r="C153" s="159">
        <v>37</v>
      </c>
      <c r="D153" s="523" t="str">
        <f>IF(C12="English","Halogenated diphenylmethane（*3）",IF(C12="中文","卤代二苯甲烷（*3）","ハロゲン化ジフェニルメタン（*3）"))</f>
        <v>卤代二苯甲烷（*3）</v>
      </c>
      <c r="E153" s="524"/>
      <c r="F153" s="524"/>
      <c r="G153" s="524"/>
      <c r="H153" s="524"/>
      <c r="I153" s="524"/>
      <c r="J153" s="524"/>
      <c r="K153" s="524"/>
      <c r="L153" s="524"/>
      <c r="M153" s="524"/>
      <c r="N153" s="524"/>
      <c r="O153" s="524"/>
      <c r="P153" s="525"/>
      <c r="Q153" s="711" t="str">
        <f>IF(C12="English","All uses",IF(C12="中文","所有用途","全ての用途"))</f>
        <v>所有用途</v>
      </c>
      <c r="R153" s="712"/>
      <c r="S153" s="712"/>
      <c r="T153" s="712"/>
      <c r="U153" s="712"/>
      <c r="V153" s="712"/>
      <c r="W153" s="713"/>
      <c r="X153" s="605" t="str">
        <f>IF(C12="English","Intentionally 
added",IF(C12="中文","禁止有意添加","意図的添加禁止"))</f>
        <v>禁止有意添加</v>
      </c>
      <c r="Y153" s="606"/>
      <c r="Z153" s="606"/>
      <c r="AA153" s="606"/>
      <c r="AB153" s="607"/>
      <c r="AC153" s="506"/>
      <c r="AD153" s="507"/>
      <c r="AE153" s="508"/>
    </row>
    <row r="154" spans="3:31" ht="30" customHeight="1">
      <c r="C154" s="602">
        <v>38</v>
      </c>
      <c r="D154" s="526" t="str">
        <f>IF(C12="English","Benzene
(CAS RN 71-43-2)",IF(C12="中文","苯
(CAS RN 71-43-2) ","ベンゼン
(CAS RN 71-43-2)"))</f>
        <v xml:space="preserve">苯
(CAS RN 71-43-2) </v>
      </c>
      <c r="E154" s="635"/>
      <c r="F154" s="635"/>
      <c r="G154" s="635"/>
      <c r="H154" s="635"/>
      <c r="I154" s="635"/>
      <c r="J154" s="635"/>
      <c r="K154" s="635"/>
      <c r="L154" s="635"/>
      <c r="M154" s="635"/>
      <c r="N154" s="635"/>
      <c r="O154" s="635"/>
      <c r="P154" s="636"/>
      <c r="Q154" s="714" t="str">
        <f>IF(C12="English","Toys or products for children",IF(C12="中文","玩具、儿童产品","玩具、子供向け製品"))</f>
        <v>玩具、儿童产品</v>
      </c>
      <c r="R154" s="715"/>
      <c r="S154" s="715"/>
      <c r="T154" s="715"/>
      <c r="U154" s="715"/>
      <c r="V154" s="715"/>
      <c r="W154" s="716"/>
      <c r="X154" s="586">
        <v>5</v>
      </c>
      <c r="Y154" s="587"/>
      <c r="Z154" s="587"/>
      <c r="AA154" s="587"/>
      <c r="AB154" s="588"/>
      <c r="AC154" s="577"/>
      <c r="AD154" s="578"/>
      <c r="AE154" s="615"/>
    </row>
    <row r="155" spans="3:31" ht="15" customHeight="1">
      <c r="C155" s="604"/>
      <c r="D155" s="694"/>
      <c r="E155" s="695"/>
      <c r="F155" s="695"/>
      <c r="G155" s="695"/>
      <c r="H155" s="695"/>
      <c r="I155" s="695"/>
      <c r="J155" s="695"/>
      <c r="K155" s="695"/>
      <c r="L155" s="695"/>
      <c r="M155" s="695"/>
      <c r="N155" s="695"/>
      <c r="O155" s="695"/>
      <c r="P155" s="696"/>
      <c r="Q155" s="708" t="str">
        <f>IF(C12="English","Substances or mixture",IF(C12="中文","物质或混合物","物質または混合物"))</f>
        <v>物质或混合物</v>
      </c>
      <c r="R155" s="709"/>
      <c r="S155" s="709"/>
      <c r="T155" s="709"/>
      <c r="U155" s="709"/>
      <c r="V155" s="709"/>
      <c r="W155" s="710"/>
      <c r="X155" s="623">
        <v>1000</v>
      </c>
      <c r="Y155" s="624"/>
      <c r="Z155" s="624"/>
      <c r="AA155" s="624"/>
      <c r="AB155" s="625"/>
      <c r="AC155" s="620"/>
      <c r="AD155" s="621"/>
      <c r="AE155" s="622"/>
    </row>
    <row r="156" spans="3:31" ht="30" customHeight="1">
      <c r="C156" s="169">
        <v>39</v>
      </c>
      <c r="D156" s="638" t="str">
        <f>IF(C12="English","Tris(1-aziridinyl)phosphine oxide （TAPO）(CAS RN 545-55-1)",IF(C12="中文","三（1-氮丙啶基）氧化膦（TAPO）
(CAS RN 545-55-1)","トリス（1-アジリジニル）ホスフィンオキシド　（TAPO）(CAS RN 545-55-1)"))</f>
        <v>三（1-氮丙啶基）氧化膦（TAPO）
(CAS RN 545-55-1)</v>
      </c>
      <c r="E156" s="644"/>
      <c r="F156" s="644"/>
      <c r="G156" s="644"/>
      <c r="H156" s="644"/>
      <c r="I156" s="644"/>
      <c r="J156" s="644"/>
      <c r="K156" s="644"/>
      <c r="L156" s="644"/>
      <c r="M156" s="644"/>
      <c r="N156" s="644"/>
      <c r="O156" s="644"/>
      <c r="P156" s="645"/>
      <c r="Q156" s="679" t="str">
        <f>IF(C12="English","Textile products in contact with human skin directly",IF(C12="中文","直接接触皮肤的纤维产品","直接皮膚に触れる繊維製品"))</f>
        <v>直接接触皮肤的纤维产品</v>
      </c>
      <c r="R156" s="680"/>
      <c r="S156" s="680"/>
      <c r="T156" s="680"/>
      <c r="U156" s="680"/>
      <c r="V156" s="680"/>
      <c r="W156" s="681"/>
      <c r="X156" s="605" t="str">
        <f>IF(C12="English","Intentionally 
added",IF(C12="中文","禁止有意添加","意図的添加禁止"))</f>
        <v>禁止有意添加</v>
      </c>
      <c r="Y156" s="606"/>
      <c r="Z156" s="606"/>
      <c r="AA156" s="606"/>
      <c r="AB156" s="607"/>
      <c r="AC156" s="506"/>
      <c r="AD156" s="507"/>
      <c r="AE156" s="508"/>
    </row>
    <row r="157" spans="3:31" ht="30" customHeight="1">
      <c r="C157" s="169">
        <v>40</v>
      </c>
      <c r="D157" s="638" t="str">
        <f>IF(C12="English","Tris(2,3-dibromopropyl) phosphate (TBPP)   (CAS RN 126-72-7)",IF(C12="中文","三（2,3-二溴丙基）磷酸酯（TBPP）
(CAS RN 126-72-7)","リン酸トリス（2,3－ジブロモプロピル）（TBPP）(CAS RN 126-72-7)"))</f>
        <v>三（2,3-二溴丙基）磷酸酯（TBPP）
(CAS RN 126-72-7)</v>
      </c>
      <c r="E157" s="644"/>
      <c r="F157" s="644"/>
      <c r="G157" s="644"/>
      <c r="H157" s="644"/>
      <c r="I157" s="644"/>
      <c r="J157" s="644"/>
      <c r="K157" s="644"/>
      <c r="L157" s="644"/>
      <c r="M157" s="644"/>
      <c r="N157" s="644"/>
      <c r="O157" s="644"/>
      <c r="P157" s="645"/>
      <c r="Q157" s="679" t="str">
        <f>IF(C12="English","Textile products in contact with human skin directly",IF(C12="中文","直接接触皮肤的纤维产品","直接皮膚に触れる繊維製品"))</f>
        <v>直接接触皮肤的纤维产品</v>
      </c>
      <c r="R157" s="680"/>
      <c r="S157" s="680"/>
      <c r="T157" s="680"/>
      <c r="U157" s="680"/>
      <c r="V157" s="680"/>
      <c r="W157" s="681"/>
      <c r="X157" s="605" t="str">
        <f>IF(C12="English","Intentionally 
added",IF(C12="中文","禁止有意添加","意図的添加禁止"))</f>
        <v>禁止有意添加</v>
      </c>
      <c r="Y157" s="606"/>
      <c r="Z157" s="606"/>
      <c r="AA157" s="606"/>
      <c r="AB157" s="607"/>
      <c r="AC157" s="506"/>
      <c r="AD157" s="507"/>
      <c r="AE157" s="508"/>
    </row>
    <row r="158" spans="3:31" ht="15" customHeight="1">
      <c r="C158" s="169">
        <v>41</v>
      </c>
      <c r="D158" s="638" t="str">
        <f>IF(C12="English","Perchlorates",IF(C12="中文","高氯酸盐","過塩素酸塩"))</f>
        <v>高氯酸盐</v>
      </c>
      <c r="E158" s="644"/>
      <c r="F158" s="644"/>
      <c r="G158" s="644"/>
      <c r="H158" s="644"/>
      <c r="I158" s="644"/>
      <c r="J158" s="644"/>
      <c r="K158" s="644"/>
      <c r="L158" s="644"/>
      <c r="M158" s="644"/>
      <c r="N158" s="644"/>
      <c r="O158" s="644"/>
      <c r="P158" s="645"/>
      <c r="Q158" s="679" t="str">
        <f>IF(C12="English","All uses",IF(C12="中文","所有用途","全ての用途"))</f>
        <v>所有用途</v>
      </c>
      <c r="R158" s="680"/>
      <c r="S158" s="680"/>
      <c r="T158" s="680"/>
      <c r="U158" s="680"/>
      <c r="V158" s="680"/>
      <c r="W158" s="681"/>
      <c r="X158" s="605" t="str">
        <f>IF(C12="English","0.006ppm of parts",IF(C12="中文","产品的 0.006","製品の 0.006"))</f>
        <v>产品的 0.006</v>
      </c>
      <c r="Y158" s="606"/>
      <c r="Z158" s="606"/>
      <c r="AA158" s="606"/>
      <c r="AB158" s="607"/>
      <c r="AC158" s="506"/>
      <c r="AD158" s="507"/>
      <c r="AE158" s="508"/>
    </row>
    <row r="159" spans="3:31" ht="30" customHeight="1">
      <c r="C159" s="168">
        <v>42</v>
      </c>
      <c r="D159" s="638" t="str">
        <f>IF(C12="English","2,4,6-Tri-tert-butylphenol  
(CAS RN 732-26-3)",IF(C12="中文","2,4,6-三-叔-丁基苯酚
(CAS RN 732-26-3)","2,4,6-トリ-ターシャリ-ブチルフェノール
(CAS RN 732-26-3)"))</f>
        <v>2,4,6-三-叔-丁基苯酚
(CAS RN 732-26-3)</v>
      </c>
      <c r="E159" s="644"/>
      <c r="F159" s="644"/>
      <c r="G159" s="644"/>
      <c r="H159" s="644"/>
      <c r="I159" s="644"/>
      <c r="J159" s="644"/>
      <c r="K159" s="644"/>
      <c r="L159" s="644"/>
      <c r="M159" s="644"/>
      <c r="N159" s="644"/>
      <c r="O159" s="644"/>
      <c r="P159" s="645"/>
      <c r="Q159" s="667" t="str">
        <f>IF(C12="English","All uses",IF(C12="中文","所有用途","全ての用途"))</f>
        <v>所有用途</v>
      </c>
      <c r="R159" s="668"/>
      <c r="S159" s="668"/>
      <c r="T159" s="668"/>
      <c r="U159" s="668"/>
      <c r="V159" s="668"/>
      <c r="W159" s="669"/>
      <c r="X159" s="605" t="str">
        <f>IF(C12="English","Intentionally 
added",IF(C12="中文","禁止有意添加","意図的添加禁止"))</f>
        <v>禁止有意添加</v>
      </c>
      <c r="Y159" s="606"/>
      <c r="Z159" s="606"/>
      <c r="AA159" s="606"/>
      <c r="AB159" s="607"/>
      <c r="AC159" s="506"/>
      <c r="AD159" s="507"/>
      <c r="AE159" s="508"/>
    </row>
    <row r="160" spans="3:31" ht="75" customHeight="1">
      <c r="C160" s="159">
        <v>43</v>
      </c>
      <c r="D160" s="638" t="str">
        <f>IF(C12="English","Hg, Cd, Cr(VI), Pb, Phthalate esters 4 substances (DEHP, DBP, BBP, DIBP)",IF(C12="中文","汞、镉、六价铬、铅、邻苯二甲酸酯4物质(DEHP, DBP, BBP, DIBP)","水銀、カドミウム、六価クロム、鉛、フタル酸エステル4物質(DEHP, DBP, BBP, DIBP)"))</f>
        <v>汞、镉、六价铬、铅、邻苯二甲酸酯4物质(DEHP, DBP, BBP, DIBP)</v>
      </c>
      <c r="E160" s="644"/>
      <c r="F160" s="644"/>
      <c r="G160" s="644"/>
      <c r="H160" s="644"/>
      <c r="I160" s="644"/>
      <c r="J160" s="644"/>
      <c r="K160" s="644"/>
      <c r="L160" s="644"/>
      <c r="M160" s="644"/>
      <c r="N160" s="644"/>
      <c r="O160" s="644"/>
      <c r="P160" s="645"/>
      <c r="Q160" s="667" t="str">
        <f>IF(C12="English","Packing/Packaging material",IF(C12="中文","包装、梱包材","包装・梱包材"))</f>
        <v>包装、梱包材</v>
      </c>
      <c r="R160" s="668"/>
      <c r="S160" s="668"/>
      <c r="T160" s="668"/>
      <c r="U160" s="668"/>
      <c r="V160" s="668"/>
      <c r="W160" s="669"/>
      <c r="X160" s="605" t="str">
        <f>IF(C12="English","Hg, Cd, Cr(VI), Pb
in total ; 100
Phthalate esters
in total ; 1,000",IF(C12="中文","镉、铅、六价铬、水银合计:100  邻苯二甲酸酯合计:1000","水銀、カドミウム、六価クロム、鉛：合計:100  フタル酸エステル：合計:1000"))</f>
        <v>镉、铅、六价铬、水银合计:100  邻苯二甲酸酯合计:1000</v>
      </c>
      <c r="Y160" s="606"/>
      <c r="Z160" s="606"/>
      <c r="AA160" s="606"/>
      <c r="AB160" s="607"/>
      <c r="AC160" s="506"/>
      <c r="AD160" s="507"/>
      <c r="AE160" s="508"/>
    </row>
    <row r="161" spans="3:31" ht="30" customHeight="1">
      <c r="C161" s="168">
        <v>44</v>
      </c>
      <c r="D161" s="638" t="str">
        <f>IF(C12="English","Pentachlorothiophenol (PCTP)
(CAS RN 133-49-3)",IF(C12="中文","五氯苯硫酚(PCTP)
(CAS RN 133-49-3)","ペンタクロロチオフェノール (PCTP)
(CAS RN 133-49-3)"))</f>
        <v>五氯苯硫酚(PCTP)
(CAS RN 133-49-3)</v>
      </c>
      <c r="E161" s="644"/>
      <c r="F161" s="644"/>
      <c r="G161" s="644"/>
      <c r="H161" s="644"/>
      <c r="I161" s="644"/>
      <c r="J161" s="644"/>
      <c r="K161" s="644"/>
      <c r="L161" s="644"/>
      <c r="M161" s="644"/>
      <c r="N161" s="644"/>
      <c r="O161" s="644"/>
      <c r="P161" s="645"/>
      <c r="Q161" s="667" t="str">
        <f>IF(C12="English","All uses",IF(C12="中文","所有用途","全ての用途"))</f>
        <v>所有用途</v>
      </c>
      <c r="R161" s="668"/>
      <c r="S161" s="668"/>
      <c r="T161" s="668"/>
      <c r="U161" s="668"/>
      <c r="V161" s="668"/>
      <c r="W161" s="669"/>
      <c r="X161" s="717">
        <v>0.01</v>
      </c>
      <c r="Y161" s="606"/>
      <c r="Z161" s="606"/>
      <c r="AA161" s="606"/>
      <c r="AB161" s="607"/>
      <c r="AC161" s="506"/>
      <c r="AD161" s="507"/>
      <c r="AE161" s="508"/>
    </row>
    <row r="162" spans="3:31" ht="30" customHeight="1">
      <c r="C162" s="168">
        <v>45</v>
      </c>
      <c r="D162" s="638" t="str">
        <f>IF(C12="English","Hexachlorobutadiene (HCBD)
(CAS RN 87-68-3)",IF(C12="中文","六氯丁二烯 (HCBD)
(CAS RN 87-68-3)","ヘキサクロロブタジエン (HCBD)
(CAS RN 87-68-3)"))</f>
        <v>六氯丁二烯 (HCBD)
(CAS RN 87-68-3)</v>
      </c>
      <c r="E162" s="644"/>
      <c r="F162" s="644"/>
      <c r="G162" s="644"/>
      <c r="H162" s="644"/>
      <c r="I162" s="644"/>
      <c r="J162" s="644"/>
      <c r="K162" s="644"/>
      <c r="L162" s="644"/>
      <c r="M162" s="644"/>
      <c r="N162" s="644"/>
      <c r="O162" s="644"/>
      <c r="P162" s="645"/>
      <c r="Q162" s="667" t="str">
        <f>IF(C12="English","All uses",IF(C12="中文","所有用途","全ての用途"))</f>
        <v>所有用途</v>
      </c>
      <c r="R162" s="668"/>
      <c r="S162" s="668"/>
      <c r="T162" s="668"/>
      <c r="U162" s="668"/>
      <c r="V162" s="668"/>
      <c r="W162" s="669"/>
      <c r="X162" s="605" t="str">
        <f>IF(C12="English","Intentionally 
added",IF(C12="中文","禁止有意添加","意図的添加禁止"))</f>
        <v>禁止有意添加</v>
      </c>
      <c r="Y162" s="606"/>
      <c r="Z162" s="606"/>
      <c r="AA162" s="606"/>
      <c r="AB162" s="607"/>
      <c r="AC162" s="506"/>
      <c r="AD162" s="507"/>
      <c r="AE162" s="508"/>
    </row>
    <row r="163" spans="3:31" ht="30" customHeight="1">
      <c r="C163" s="168">
        <v>46</v>
      </c>
      <c r="D163" s="638" t="str">
        <f>IF(C12="English","Phenol, isopropylated　phosphate (PIP(3:1))(CAS RN 68937-41-7)",IF(C12="中文","异丙基化磷酸三苯酯 (PIP(3:1))(CAS RN 68937-41-7)","リン酸トリアリールイソプロピル化合物 (PIP(3:1))(CAS RN 68937-41-7)"))</f>
        <v>异丙基化磷酸三苯酯 (PIP(3:1))(CAS RN 68937-41-7)</v>
      </c>
      <c r="E163" s="644"/>
      <c r="F163" s="644"/>
      <c r="G163" s="644"/>
      <c r="H163" s="644"/>
      <c r="I163" s="644"/>
      <c r="J163" s="644"/>
      <c r="K163" s="644"/>
      <c r="L163" s="644"/>
      <c r="M163" s="644"/>
      <c r="N163" s="644"/>
      <c r="O163" s="644"/>
      <c r="P163" s="645"/>
      <c r="Q163" s="667" t="str">
        <f>IF(C12="English","All uses",IF(C12="中文","所有用途","全ての用途"))</f>
        <v>所有用途</v>
      </c>
      <c r="R163" s="668"/>
      <c r="S163" s="668"/>
      <c r="T163" s="668"/>
      <c r="U163" s="668"/>
      <c r="V163" s="668"/>
      <c r="W163" s="669"/>
      <c r="X163" s="605" t="str">
        <f>IF(C12="English","Intentionally 
added",IF(C12="中文","禁止有意添加","意図的添加禁止"))</f>
        <v>禁止有意添加</v>
      </c>
      <c r="Y163" s="606"/>
      <c r="Z163" s="606"/>
      <c r="AA163" s="606"/>
      <c r="AB163" s="607"/>
      <c r="AC163" s="506"/>
      <c r="AD163" s="507"/>
      <c r="AE163" s="508"/>
    </row>
    <row r="164" spans="3:31" ht="30" customHeight="1">
      <c r="C164" s="168">
        <v>47</v>
      </c>
      <c r="D164" s="638" t="str">
        <f>IF(C12="English","Perfluorohexane sulfonates (PFHxS) and its salts and PFHxS-related substances",IF(C17="中文","全氟己基磺酸(PFHxS)及其盐和相关物质","ペルフルオロヘキサンスルホン酸（PFHxS）とその塩及び関連物質"))</f>
        <v>ペルフルオロヘキサンスルホン酸（PFHxS）とその塩及び関連物質</v>
      </c>
      <c r="E164" s="644"/>
      <c r="F164" s="644"/>
      <c r="G164" s="644"/>
      <c r="H164" s="644"/>
      <c r="I164" s="644"/>
      <c r="J164" s="644"/>
      <c r="K164" s="644"/>
      <c r="L164" s="644"/>
      <c r="M164" s="644"/>
      <c r="N164" s="644"/>
      <c r="O164" s="644"/>
      <c r="P164" s="645"/>
      <c r="Q164" s="667" t="str">
        <f>IF(C12="English","All uses",IF(C12="中文","所有用途","全ての用途"))</f>
        <v>所有用途</v>
      </c>
      <c r="R164" s="668"/>
      <c r="S164" s="668"/>
      <c r="T164" s="668"/>
      <c r="U164" s="668"/>
      <c r="V164" s="668"/>
      <c r="W164" s="669"/>
      <c r="X164" s="605" t="str">
        <f>IF(C12="English","Intentionally 
added",IF(C12="中文","禁止有意添加","意図的添加禁止"))</f>
        <v>禁止有意添加</v>
      </c>
      <c r="Y164" s="606"/>
      <c r="Z164" s="606"/>
      <c r="AA164" s="606"/>
      <c r="AB164" s="607"/>
      <c r="AC164" s="506"/>
      <c r="AD164" s="507"/>
      <c r="AE164" s="508"/>
    </row>
    <row r="165" spans="3:31" ht="30" customHeight="1">
      <c r="C165" s="168">
        <v>48</v>
      </c>
      <c r="D165" s="638" t="str">
        <f>IF(C12="English","Methylene Chloride
(CAS RN 75-09-2)",IF(C20="中文","二氯甲烷
(CAS RN 75-09-2)","ジクロロメタン
(CAS RN 75-09-2)"))</f>
        <v>ジクロロメタン
(CAS RN 75-09-2)</v>
      </c>
      <c r="E165" s="644"/>
      <c r="F165" s="644"/>
      <c r="G165" s="644"/>
      <c r="H165" s="644"/>
      <c r="I165" s="644"/>
      <c r="J165" s="644"/>
      <c r="K165" s="644"/>
      <c r="L165" s="644"/>
      <c r="M165" s="644"/>
      <c r="N165" s="644"/>
      <c r="O165" s="644"/>
      <c r="P165" s="645"/>
      <c r="Q165" s="667" t="str">
        <f>IF(C12="English","All uses",IF(C12="中文","所有用途","全ての用途"))</f>
        <v>所有用途</v>
      </c>
      <c r="R165" s="668"/>
      <c r="S165" s="668"/>
      <c r="T165" s="668"/>
      <c r="U165" s="668"/>
      <c r="V165" s="668"/>
      <c r="W165" s="669"/>
      <c r="X165" s="605" t="str">
        <f>IF(C12="English","Intentionally 
added",IF(C12="中文","禁止有意添加","意図的添加禁止"))</f>
        <v>禁止有意添加</v>
      </c>
      <c r="Y165" s="606"/>
      <c r="Z165" s="606"/>
      <c r="AA165" s="606"/>
      <c r="AB165" s="607"/>
      <c r="AC165" s="506"/>
      <c r="AD165" s="507"/>
      <c r="AE165" s="508"/>
    </row>
    <row r="166" spans="3:31" ht="30" customHeight="1">
      <c r="C166" s="168">
        <v>49</v>
      </c>
      <c r="D166" s="638" t="str">
        <f>IF(C12="English","1-Bromopropane 
(CAS RN 106-94-5)",IF(C21="中文","1-溴丙烷
(CAS RN 106-94-5)","1-ブロモプロパン
(CAS RN 106-94-5)"))</f>
        <v>1-ブロモプロパン
(CAS RN 106-94-5)</v>
      </c>
      <c r="E166" s="644"/>
      <c r="F166" s="644"/>
      <c r="G166" s="644"/>
      <c r="H166" s="644"/>
      <c r="I166" s="644"/>
      <c r="J166" s="644"/>
      <c r="K166" s="644"/>
      <c r="L166" s="644"/>
      <c r="M166" s="644"/>
      <c r="N166" s="644"/>
      <c r="O166" s="644"/>
      <c r="P166" s="645"/>
      <c r="Q166" s="667" t="str">
        <f>IF(C12="English","All uses",IF(C12="中文","所有用途","全ての用途"))</f>
        <v>所有用途</v>
      </c>
      <c r="R166" s="668"/>
      <c r="S166" s="668"/>
      <c r="T166" s="668"/>
      <c r="U166" s="668"/>
      <c r="V166" s="668"/>
      <c r="W166" s="669"/>
      <c r="X166" s="605" t="str">
        <f>IF(C12="English","Intentionally 
added",IF(C12="中文","禁止有意添加","意図的添加禁止"))</f>
        <v>禁止有意添加</v>
      </c>
      <c r="Y166" s="606"/>
      <c r="Z166" s="606"/>
      <c r="AA166" s="606"/>
      <c r="AB166" s="607"/>
      <c r="AC166" s="506"/>
      <c r="AD166" s="507"/>
      <c r="AE166" s="508"/>
    </row>
    <row r="167" spans="3:31" ht="30" customHeight="1">
      <c r="C167" s="168">
        <v>50</v>
      </c>
      <c r="D167" s="638" t="str">
        <f>IF(C12="English","Carbon Tetrachloride
(CAS RN 56-23-5)",IF(C22="中文","四氯化碳
(CAS RN 56-23-5)","四塩化炭素
(CAS RN 56-23-5)"))</f>
        <v>四塩化炭素
(CAS RN 56-23-5)</v>
      </c>
      <c r="E167" s="644"/>
      <c r="F167" s="644"/>
      <c r="G167" s="644"/>
      <c r="H167" s="644"/>
      <c r="I167" s="644"/>
      <c r="J167" s="644"/>
      <c r="K167" s="644"/>
      <c r="L167" s="644"/>
      <c r="M167" s="644"/>
      <c r="N167" s="644"/>
      <c r="O167" s="644"/>
      <c r="P167" s="645"/>
      <c r="Q167" s="667" t="str">
        <f>IF(C12="English","All uses",IF(C12="中文","所有用途","全ての用途"))</f>
        <v>所有用途</v>
      </c>
      <c r="R167" s="668"/>
      <c r="S167" s="668"/>
      <c r="T167" s="668"/>
      <c r="U167" s="668"/>
      <c r="V167" s="668"/>
      <c r="W167" s="669"/>
      <c r="X167" s="605" t="str">
        <f>IF(C12="English","Intentionally 
added",IF(C12="中文","禁止有意添加","意図的添加禁止"))</f>
        <v>禁止有意添加</v>
      </c>
      <c r="Y167" s="606"/>
      <c r="Z167" s="606"/>
      <c r="AA167" s="606"/>
      <c r="AB167" s="607"/>
      <c r="AC167" s="506"/>
      <c r="AD167" s="507"/>
      <c r="AE167" s="508"/>
    </row>
    <row r="168" spans="3:31" ht="30" customHeight="1">
      <c r="C168" s="168">
        <v>51</v>
      </c>
      <c r="D168" s="638" t="str">
        <f>IF(C12="English","1,4-dioxane
(CAS RN 123-91-1)",IF(C23="中文","1,4-二氧六环
(CAS RN 123-91-1)","1,4-ジオキサン
(CAS RN 123-91-1)"))</f>
        <v>1,4-ジオキサン
(CAS RN 123-91-1)</v>
      </c>
      <c r="E168" s="644"/>
      <c r="F168" s="644"/>
      <c r="G168" s="644"/>
      <c r="H168" s="644"/>
      <c r="I168" s="644"/>
      <c r="J168" s="644"/>
      <c r="K168" s="644"/>
      <c r="L168" s="644"/>
      <c r="M168" s="644"/>
      <c r="N168" s="644"/>
      <c r="O168" s="644"/>
      <c r="P168" s="645"/>
      <c r="Q168" s="667" t="str">
        <f>IF(C12="English","All uses",IF(C12="中文","所有用途","全ての用途"))</f>
        <v>所有用途</v>
      </c>
      <c r="R168" s="668"/>
      <c r="S168" s="668"/>
      <c r="T168" s="668"/>
      <c r="U168" s="668"/>
      <c r="V168" s="668"/>
      <c r="W168" s="669"/>
      <c r="X168" s="605" t="str">
        <f>IF(C12="English","Intentionally 
added",IF(C12="中文","禁止有意添加","意図的添加禁止"))</f>
        <v>禁止有意添加</v>
      </c>
      <c r="Y168" s="606"/>
      <c r="Z168" s="606"/>
      <c r="AA168" s="606"/>
      <c r="AB168" s="607"/>
      <c r="AC168" s="506"/>
      <c r="AD168" s="507"/>
      <c r="AE168" s="508"/>
    </row>
    <row r="169" spans="3:31" ht="30" customHeight="1">
      <c r="C169" s="159">
        <v>52</v>
      </c>
      <c r="D169" s="638" t="str">
        <f>IF(C12="English","N-Methylpyrrolidone (NMP)
(CAS RN 872-50-4)",IF(C24="中文","N-甲基-2-吡咯烷酮(NMP)
(CAS RN 872-50-4)","N-メチル-2-ピロリドン (NMP)
(CAS RN 872-50-4)"))</f>
        <v>N-メチル-2-ピロリドン (NMP)
(CAS RN 872-50-4)</v>
      </c>
      <c r="E169" s="644"/>
      <c r="F169" s="644"/>
      <c r="G169" s="644"/>
      <c r="H169" s="644"/>
      <c r="I169" s="644"/>
      <c r="J169" s="644"/>
      <c r="K169" s="644"/>
      <c r="L169" s="644"/>
      <c r="M169" s="644"/>
      <c r="N169" s="644"/>
      <c r="O169" s="644"/>
      <c r="P169" s="645"/>
      <c r="Q169" s="667" t="str">
        <f>IF(C12="English","All uses",IF(C12="中文","所有用途","全ての用途"))</f>
        <v>所有用途</v>
      </c>
      <c r="R169" s="668"/>
      <c r="S169" s="668"/>
      <c r="T169" s="668"/>
      <c r="U169" s="668"/>
      <c r="V169" s="668"/>
      <c r="W169" s="669"/>
      <c r="X169" s="605" t="str">
        <f>IF(C12="English","Intentionally 
added",IF(C12="中文","禁止有意添加","意図的添加禁止"))</f>
        <v>禁止有意添加</v>
      </c>
      <c r="Y169" s="606"/>
      <c r="Z169" s="606"/>
      <c r="AA169" s="606"/>
      <c r="AB169" s="607"/>
      <c r="AC169" s="506"/>
      <c r="AD169" s="507"/>
      <c r="AE169" s="508"/>
    </row>
    <row r="170" spans="3:31" ht="15" customHeight="1">
      <c r="C170" s="152"/>
      <c r="D170" s="167"/>
      <c r="E170" s="167"/>
      <c r="F170" s="167"/>
      <c r="G170" s="167"/>
      <c r="H170" s="167"/>
      <c r="I170" s="167"/>
      <c r="J170" s="167"/>
      <c r="K170" s="167"/>
      <c r="L170" s="167"/>
      <c r="M170" s="167"/>
      <c r="N170" s="167"/>
      <c r="O170" s="167"/>
      <c r="P170" s="167"/>
      <c r="Q170" s="157"/>
      <c r="R170" s="157"/>
      <c r="S170" s="157"/>
      <c r="T170" s="157"/>
      <c r="U170" s="157"/>
      <c r="V170" s="157"/>
      <c r="W170" s="157"/>
      <c r="X170" s="162"/>
      <c r="Y170" s="162"/>
      <c r="Z170" s="162"/>
      <c r="AA170" s="162"/>
      <c r="AB170" s="162"/>
      <c r="AC170" s="164"/>
      <c r="AD170" s="164"/>
      <c r="AE170" s="164"/>
    </row>
    <row r="171" spans="3:31" ht="15" customHeight="1">
      <c r="C171" s="152"/>
      <c r="D171" s="167"/>
      <c r="E171" s="167"/>
      <c r="F171" s="167"/>
      <c r="G171" s="167"/>
      <c r="H171" s="167"/>
      <c r="I171" s="167"/>
      <c r="J171" s="167"/>
      <c r="K171" s="167"/>
      <c r="L171" s="167"/>
      <c r="M171" s="167"/>
      <c r="N171" s="167"/>
      <c r="O171" s="167"/>
      <c r="P171" s="167"/>
      <c r="Q171" s="157"/>
      <c r="R171" s="157"/>
      <c r="S171" s="157"/>
      <c r="T171" s="157"/>
      <c r="U171" s="157"/>
      <c r="V171" s="157"/>
      <c r="W171" s="157"/>
      <c r="X171" s="162"/>
      <c r="Y171" s="162"/>
      <c r="Z171" s="162"/>
      <c r="AA171" s="162"/>
      <c r="AB171" s="162"/>
      <c r="AC171" s="164"/>
      <c r="AD171" s="164"/>
      <c r="AE171" s="164"/>
    </row>
    <row r="172" spans="3:31" ht="15" customHeight="1">
      <c r="C172" s="152"/>
      <c r="D172" s="167"/>
      <c r="E172" s="167"/>
      <c r="F172" s="167"/>
      <c r="G172" s="167"/>
      <c r="H172" s="167"/>
      <c r="I172" s="167"/>
      <c r="J172" s="167"/>
      <c r="K172" s="167"/>
      <c r="L172" s="167"/>
      <c r="M172" s="167"/>
      <c r="N172" s="167"/>
      <c r="O172" s="167"/>
      <c r="P172" s="167"/>
      <c r="Q172" s="157"/>
      <c r="R172" s="157"/>
      <c r="S172" s="157"/>
      <c r="T172" s="157"/>
      <c r="U172" s="157"/>
      <c r="V172" s="157"/>
      <c r="W172" s="157"/>
      <c r="X172" s="162"/>
      <c r="Y172" s="162"/>
      <c r="Z172" s="162"/>
      <c r="AA172" s="162"/>
      <c r="AB172" s="162"/>
      <c r="AC172" s="164"/>
      <c r="AD172" s="164"/>
      <c r="AE172" s="164"/>
    </row>
    <row r="173" spans="3:31" ht="15" customHeight="1">
      <c r="C173" s="152"/>
      <c r="D173" s="165"/>
      <c r="E173" s="165"/>
      <c r="F173" s="165"/>
      <c r="G173" s="165"/>
      <c r="H173" s="165"/>
      <c r="I173" s="165"/>
      <c r="J173" s="165"/>
      <c r="K173" s="165"/>
      <c r="L173" s="165"/>
      <c r="M173" s="165"/>
      <c r="N173" s="165"/>
      <c r="O173" s="165"/>
      <c r="P173" s="165"/>
      <c r="Q173" s="163"/>
      <c r="R173" s="163"/>
      <c r="S173" s="163"/>
      <c r="T173" s="163"/>
      <c r="U173" s="163"/>
      <c r="V173" s="163"/>
      <c r="W173" s="163"/>
      <c r="X173" s="162"/>
      <c r="Y173" s="162"/>
      <c r="Z173" s="162"/>
      <c r="AA173" s="162"/>
      <c r="AB173" s="162"/>
      <c r="AC173" s="164"/>
      <c r="AD173" s="164"/>
      <c r="AE173" s="164"/>
    </row>
    <row r="174" spans="3:31" ht="15" customHeight="1">
      <c r="C174" s="152"/>
      <c r="D174" s="165"/>
      <c r="E174" s="165"/>
      <c r="F174" s="165"/>
      <c r="G174" s="165"/>
      <c r="H174" s="165"/>
      <c r="I174" s="165"/>
      <c r="J174" s="165"/>
      <c r="K174" s="165"/>
      <c r="L174" s="165"/>
      <c r="M174" s="165"/>
      <c r="N174" s="165"/>
      <c r="O174" s="165"/>
      <c r="P174" s="165"/>
      <c r="Q174" s="163"/>
      <c r="R174" s="163"/>
      <c r="S174" s="163"/>
      <c r="T174" s="163"/>
      <c r="U174" s="163"/>
      <c r="V174" s="163"/>
      <c r="W174" s="163"/>
      <c r="X174" s="162"/>
      <c r="Y174" s="162"/>
      <c r="Z174" s="162"/>
      <c r="AA174" s="162"/>
      <c r="AB174" s="162"/>
      <c r="AC174" s="164"/>
      <c r="AD174" s="164"/>
      <c r="AE174" s="164"/>
    </row>
    <row r="175" spans="3:31" ht="30" customHeight="1">
      <c r="C175" s="168">
        <v>53</v>
      </c>
      <c r="D175" s="638" t="str">
        <f>IF(C12="English","Perchloroethylene
(CAS RN 127-18-4)",IF(C25="中文","四氯乙烯
(CAS RN 127-18-4)","テトラクロロエチレン
(CAS RN 127-18-4)"))</f>
        <v>テトラクロロエチレン
(CAS RN 127-18-4)</v>
      </c>
      <c r="E175" s="644"/>
      <c r="F175" s="644"/>
      <c r="G175" s="644"/>
      <c r="H175" s="644"/>
      <c r="I175" s="644"/>
      <c r="J175" s="644"/>
      <c r="K175" s="644"/>
      <c r="L175" s="644"/>
      <c r="M175" s="644"/>
      <c r="N175" s="644"/>
      <c r="O175" s="644"/>
      <c r="P175" s="645"/>
      <c r="Q175" s="667" t="str">
        <f>IF(C12="English","All uses",IF(C12="中文","所有用途","全ての用途"))</f>
        <v>所有用途</v>
      </c>
      <c r="R175" s="668"/>
      <c r="S175" s="668"/>
      <c r="T175" s="668"/>
      <c r="U175" s="668"/>
      <c r="V175" s="668"/>
      <c r="W175" s="669"/>
      <c r="X175" s="605" t="str">
        <f>IF(C12="English","Intentionally 
added",IF(C12="中文","禁止有意添加","意図的添加禁止"))</f>
        <v>禁止有意添加</v>
      </c>
      <c r="Y175" s="606"/>
      <c r="Z175" s="606"/>
      <c r="AA175" s="606"/>
      <c r="AB175" s="607"/>
      <c r="AC175" s="506"/>
      <c r="AD175" s="507"/>
      <c r="AE175" s="508"/>
    </row>
    <row r="176" spans="3:31" ht="30" customHeight="1">
      <c r="C176" s="159">
        <v>54</v>
      </c>
      <c r="D176" s="638" t="str">
        <f>IF(C12="English","Pigment Violet 29
(CAS RN 81-33-4)",IF(C26="中文","苝艳紫红29
(CAS RN 81-33-4)
","ピグメントバイオレット29
(CAS RN 81-33-4)"))</f>
        <v>ピグメントバイオレット29
(CAS RN 81-33-4)</v>
      </c>
      <c r="E176" s="644"/>
      <c r="F176" s="644"/>
      <c r="G176" s="644"/>
      <c r="H176" s="644"/>
      <c r="I176" s="644"/>
      <c r="J176" s="644"/>
      <c r="K176" s="644"/>
      <c r="L176" s="644"/>
      <c r="M176" s="644"/>
      <c r="N176" s="644"/>
      <c r="O176" s="644"/>
      <c r="P176" s="645"/>
      <c r="Q176" s="667" t="str">
        <f>IF(C12="English","All uses",IF(C12="中文","所有用途","全ての用途"))</f>
        <v>所有用途</v>
      </c>
      <c r="R176" s="668"/>
      <c r="S176" s="668"/>
      <c r="T176" s="668"/>
      <c r="U176" s="668"/>
      <c r="V176" s="668"/>
      <c r="W176" s="669"/>
      <c r="X176" s="605" t="str">
        <f>IF(C12="English","Intentionally 
added",IF(C12="中文","禁止有意添加","意図的添加禁止"))</f>
        <v>禁止有意添加</v>
      </c>
      <c r="Y176" s="606"/>
      <c r="Z176" s="606"/>
      <c r="AA176" s="606"/>
      <c r="AB176" s="607"/>
      <c r="AC176" s="506"/>
      <c r="AD176" s="507"/>
      <c r="AE176" s="508"/>
    </row>
    <row r="177" spans="2:34" ht="30" customHeight="1">
      <c r="C177" s="168">
        <v>55</v>
      </c>
      <c r="D177" s="638" t="str">
        <f>IF(C12="English","Trichloroethylene (TCE)
(CAS RN 79-01-6)",IF(C27="中文","三氯乙烯 (TCE)
(CAS RN 79-01-6)","トリクロロエチレン (TCE)
(CAS RN 79-01-6)"))</f>
        <v>トリクロロエチレン (TCE)
(CAS RN 79-01-6)</v>
      </c>
      <c r="E177" s="644"/>
      <c r="F177" s="644"/>
      <c r="G177" s="644"/>
      <c r="H177" s="644"/>
      <c r="I177" s="644"/>
      <c r="J177" s="644"/>
      <c r="K177" s="644"/>
      <c r="L177" s="644"/>
      <c r="M177" s="644"/>
      <c r="N177" s="644"/>
      <c r="O177" s="644"/>
      <c r="P177" s="645"/>
      <c r="Q177" s="667" t="str">
        <f>IF(C12="English","All uses",IF(C12="中文","所有用途","全ての用途"))</f>
        <v>所有用途</v>
      </c>
      <c r="R177" s="668"/>
      <c r="S177" s="668"/>
      <c r="T177" s="668"/>
      <c r="U177" s="668"/>
      <c r="V177" s="668"/>
      <c r="W177" s="669"/>
      <c r="X177" s="605" t="str">
        <f>IF(C12="English","Intentionally 
added",IF(C12="中文","禁止有意添加","意図的添加禁止"))</f>
        <v>禁止有意添加</v>
      </c>
      <c r="Y177" s="606"/>
      <c r="Z177" s="606"/>
      <c r="AA177" s="606"/>
      <c r="AB177" s="607"/>
      <c r="AC177" s="506"/>
      <c r="AD177" s="507"/>
      <c r="AE177" s="508"/>
    </row>
    <row r="178" spans="2:34" ht="63" customHeight="1">
      <c r="C178" s="602">
        <v>56</v>
      </c>
      <c r="D178" s="526" t="str">
        <f>IF(C12="English","China VOC Regulated Substances",IF(C12="中文","中国VOC管理物质","中国VOC規制物質"))</f>
        <v>中国VOC管理物质</v>
      </c>
      <c r="E178" s="635"/>
      <c r="F178" s="635"/>
      <c r="G178" s="635"/>
      <c r="H178" s="635"/>
      <c r="I178" s="635"/>
      <c r="J178" s="635"/>
      <c r="K178" s="635"/>
      <c r="L178" s="635"/>
      <c r="M178" s="635"/>
      <c r="N178" s="635"/>
      <c r="O178" s="635"/>
      <c r="P178" s="636"/>
      <c r="Q178" s="652" t="str">
        <f>IF(C12="English","Vehicle paints, industrial protective paints, adhesives, inks, and cleaning agents must comply with China National Standard (GB Standard) below. ",IF(C12="中文","关于车辆涂料、工业防护涂料、胶粘合剂、油墨、清洗剂应符合以下中国国家标准(GB规格)","車両塗料、工業防護塗料、接着剤、インク、洗浄剤について下記 中国国家標準（GB規格）へ適合すること"))</f>
        <v>关于车辆涂料、工业防护涂料、胶粘合剂、油墨、清洗剂应符合以下中国国家标准(GB规格)</v>
      </c>
      <c r="R178" s="653"/>
      <c r="S178" s="653"/>
      <c r="T178" s="653"/>
      <c r="U178" s="653"/>
      <c r="V178" s="653"/>
      <c r="W178" s="653"/>
      <c r="X178" s="732"/>
      <c r="Y178" s="732"/>
      <c r="Z178" s="732"/>
      <c r="AA178" s="732"/>
      <c r="AB178" s="733"/>
      <c r="AC178" s="577"/>
      <c r="AD178" s="578"/>
      <c r="AE178" s="615"/>
    </row>
    <row r="179" spans="2:34" ht="45" customHeight="1">
      <c r="C179" s="614"/>
      <c r="D179" s="529"/>
      <c r="E179" s="730"/>
      <c r="F179" s="730"/>
      <c r="G179" s="730"/>
      <c r="H179" s="730"/>
      <c r="I179" s="730"/>
      <c r="J179" s="730"/>
      <c r="K179" s="730"/>
      <c r="L179" s="730"/>
      <c r="M179" s="730"/>
      <c r="N179" s="730"/>
      <c r="O179" s="730"/>
      <c r="P179" s="731"/>
      <c r="Q179" s="655" t="s">
        <v>57</v>
      </c>
      <c r="R179" s="296"/>
      <c r="S179" s="296"/>
      <c r="T179" s="296"/>
      <c r="U179" s="296"/>
      <c r="V179" s="296"/>
      <c r="W179" s="296"/>
      <c r="X179" s="296"/>
      <c r="Y179" s="296"/>
      <c r="Z179" s="296"/>
      <c r="AA179" s="296"/>
      <c r="AB179" s="297"/>
      <c r="AC179" s="616"/>
      <c r="AD179" s="617"/>
      <c r="AE179" s="618"/>
    </row>
    <row r="180" spans="2:34" ht="115.05" customHeight="1">
      <c r="C180" s="608"/>
      <c r="D180" s="532"/>
      <c r="E180" s="533"/>
      <c r="F180" s="533"/>
      <c r="G180" s="533"/>
      <c r="H180" s="533"/>
      <c r="I180" s="533"/>
      <c r="J180" s="533"/>
      <c r="K180" s="533"/>
      <c r="L180" s="533"/>
      <c r="M180" s="533"/>
      <c r="N180" s="533"/>
      <c r="O180" s="533"/>
      <c r="P180" s="637"/>
      <c r="Q180" s="718" t="str">
        <f>IF(C12="English","* Refer to GB standard for details
Objects are the above chemical product to the MinebeaMitsumi Group's Plants in China
＊Each product that is manufactured using the above chemicals and becomes dry and part of the parts is not object.
",IF(C12="中文","＊详见GB规格
向美蓓亚三枚集团中国工场交付上述化学品时为管理对象
＊使用上述化学品制造、处于干燥状态、成为零部件一部分的为管理对象外
","＊詳細はGB規格を参照
ミネベアミツミグループの中国工場に納入する上記化学品が対象
＊上記化学品を使用し製造され、乾燥状態となり、部品の一部となったものは対象外"))</f>
        <v xml:space="preserve">＊详见GB规格
向美蓓亚三枚集团中国工场交付上述化学品时为管理对象
＊使用上述化学品制造、处于干燥状态、成为零部件一部分的为管理对象外
</v>
      </c>
      <c r="R180" s="719"/>
      <c r="S180" s="719"/>
      <c r="T180" s="719"/>
      <c r="U180" s="719"/>
      <c r="V180" s="719"/>
      <c r="W180" s="719"/>
      <c r="X180" s="719"/>
      <c r="Y180" s="719"/>
      <c r="Z180" s="719"/>
      <c r="AA180" s="719"/>
      <c r="AB180" s="720"/>
      <c r="AC180" s="620"/>
      <c r="AD180" s="621"/>
      <c r="AE180" s="622"/>
    </row>
    <row r="181" spans="2:34" ht="14.1" customHeight="1"/>
    <row r="182" spans="2:34" s="4" customFormat="1" ht="14.1" customHeight="1">
      <c r="B182" s="43"/>
      <c r="C182" s="44" t="str">
        <f>IF(C12="English","(*1) Specified amines compounds",IF(C12="中文","(*1) 特定胺化合物一览","(*1) 特定アミン化合物一覧"))</f>
        <v>(*1) 特定胺化合物一览</v>
      </c>
      <c r="D182" s="37"/>
      <c r="E182" s="38"/>
      <c r="F182" s="32"/>
      <c r="G182" s="32"/>
      <c r="AG182" s="13"/>
    </row>
    <row r="183" spans="2:34" s="4" customFormat="1" ht="14.1" customHeight="1">
      <c r="B183" s="43"/>
      <c r="C183" s="40" t="s">
        <v>42</v>
      </c>
      <c r="D183" s="721" t="str">
        <f>IF(C12="English","Chemical substances",IF(C12="中文","化学物质名","化学物質名"))</f>
        <v>化学物质名</v>
      </c>
      <c r="E183" s="722"/>
      <c r="F183" s="722"/>
      <c r="G183" s="722"/>
      <c r="H183" s="722"/>
      <c r="I183" s="722"/>
      <c r="J183" s="722"/>
      <c r="K183" s="722"/>
      <c r="L183" s="722"/>
      <c r="M183" s="722"/>
      <c r="N183" s="722"/>
      <c r="O183" s="722"/>
      <c r="P183" s="723"/>
      <c r="Q183" s="721" t="s">
        <v>41</v>
      </c>
      <c r="R183" s="722"/>
      <c r="S183" s="722"/>
      <c r="T183" s="722"/>
      <c r="U183" s="723"/>
      <c r="AG183" s="13"/>
    </row>
    <row r="184" spans="2:34" s="4" customFormat="1" ht="14.1" customHeight="1">
      <c r="B184" s="43"/>
      <c r="C184" s="159">
        <v>1</v>
      </c>
      <c r="D184" s="724" t="str">
        <f>IF(C12="English","4-aminoazobenzene",IF(C12="中文","4-氨基偶氮苯","4-アミノアゾベンゼン"))</f>
        <v>4-氨基偶氮苯</v>
      </c>
      <c r="E184" s="725"/>
      <c r="F184" s="725"/>
      <c r="G184" s="725"/>
      <c r="H184" s="725"/>
      <c r="I184" s="725"/>
      <c r="J184" s="725"/>
      <c r="K184" s="725"/>
      <c r="L184" s="725"/>
      <c r="M184" s="725"/>
      <c r="N184" s="725"/>
      <c r="O184" s="725"/>
      <c r="P184" s="726"/>
      <c r="Q184" s="727" t="s">
        <v>26</v>
      </c>
      <c r="R184" s="728"/>
      <c r="S184" s="728"/>
      <c r="T184" s="728"/>
      <c r="U184" s="729"/>
      <c r="AG184" s="13"/>
      <c r="AH184" s="153"/>
    </row>
    <row r="185" spans="2:34" s="4" customFormat="1" ht="14.1" customHeight="1">
      <c r="B185" s="43"/>
      <c r="C185" s="159">
        <v>2</v>
      </c>
      <c r="D185" s="724" t="str">
        <f>IF(C12="English","o-anisidines",IF(C12="中文","邻氨基苯甲醚","o-アニシジン"))</f>
        <v>邻氨基苯甲醚</v>
      </c>
      <c r="E185" s="725"/>
      <c r="F185" s="725"/>
      <c r="G185" s="725"/>
      <c r="H185" s="725"/>
      <c r="I185" s="725"/>
      <c r="J185" s="725"/>
      <c r="K185" s="725"/>
      <c r="L185" s="725"/>
      <c r="M185" s="725"/>
      <c r="N185" s="725"/>
      <c r="O185" s="725"/>
      <c r="P185" s="726"/>
      <c r="Q185" s="721" t="s">
        <v>1</v>
      </c>
      <c r="R185" s="722"/>
      <c r="S185" s="722"/>
      <c r="T185" s="722"/>
      <c r="U185" s="723"/>
      <c r="AG185" s="13"/>
    </row>
    <row r="186" spans="2:34" s="4" customFormat="1" ht="14.1" customHeight="1">
      <c r="B186" s="43"/>
      <c r="C186" s="159">
        <v>3</v>
      </c>
      <c r="D186" s="724" t="str">
        <f>IF(C12="English","2-naphthylamine",IF(C12="中文","2-萘胺","2-ナフチルアミン"))</f>
        <v>2-萘胺</v>
      </c>
      <c r="E186" s="725"/>
      <c r="F186" s="725"/>
      <c r="G186" s="725"/>
      <c r="H186" s="725"/>
      <c r="I186" s="725"/>
      <c r="J186" s="725"/>
      <c r="K186" s="725"/>
      <c r="L186" s="725"/>
      <c r="M186" s="725"/>
      <c r="N186" s="725"/>
      <c r="O186" s="725"/>
      <c r="P186" s="726"/>
      <c r="Q186" s="721" t="s">
        <v>2</v>
      </c>
      <c r="R186" s="722"/>
      <c r="S186" s="722"/>
      <c r="T186" s="722"/>
      <c r="U186" s="723"/>
      <c r="AG186" s="13"/>
    </row>
    <row r="187" spans="2:34" s="4" customFormat="1" ht="14.1" customHeight="1">
      <c r="B187" s="43"/>
      <c r="C187" s="159">
        <v>4</v>
      </c>
      <c r="D187" s="724" t="str">
        <f>IF(C12="English","3,3'-dichlorobenzidine",IF(C12="中文","3,3'-二氯联苯胺","3, 3-ジクロロベンジジン"))</f>
        <v>3,3'-二氯联苯胺</v>
      </c>
      <c r="E187" s="725"/>
      <c r="F187" s="725"/>
      <c r="G187" s="725"/>
      <c r="H187" s="725"/>
      <c r="I187" s="725"/>
      <c r="J187" s="725"/>
      <c r="K187" s="725"/>
      <c r="L187" s="725"/>
      <c r="M187" s="725"/>
      <c r="N187" s="725"/>
      <c r="O187" s="725"/>
      <c r="P187" s="726"/>
      <c r="Q187" s="721" t="s">
        <v>3</v>
      </c>
      <c r="R187" s="722"/>
      <c r="S187" s="722"/>
      <c r="T187" s="722"/>
      <c r="U187" s="723"/>
      <c r="AG187" s="13"/>
    </row>
    <row r="188" spans="2:34" s="4" customFormat="1" ht="14.1" customHeight="1">
      <c r="B188" s="43"/>
      <c r="C188" s="159">
        <v>5</v>
      </c>
      <c r="D188" s="724" t="str">
        <f>IF(C12="English","4-aminodiphenyl",IF(C12="中文","4-氨基二苯基","4-アミノジフェニル"))</f>
        <v>4-氨基二苯基</v>
      </c>
      <c r="E188" s="725"/>
      <c r="F188" s="725"/>
      <c r="G188" s="725"/>
      <c r="H188" s="725"/>
      <c r="I188" s="725"/>
      <c r="J188" s="725"/>
      <c r="K188" s="725"/>
      <c r="L188" s="725"/>
      <c r="M188" s="725"/>
      <c r="N188" s="725"/>
      <c r="O188" s="725"/>
      <c r="P188" s="726"/>
      <c r="Q188" s="721" t="s">
        <v>4</v>
      </c>
      <c r="R188" s="722"/>
      <c r="S188" s="722"/>
      <c r="T188" s="722"/>
      <c r="U188" s="723"/>
      <c r="AG188" s="13"/>
    </row>
    <row r="189" spans="2:34" s="4" customFormat="1" ht="14.1" customHeight="1">
      <c r="B189" s="43"/>
      <c r="C189" s="159">
        <v>6</v>
      </c>
      <c r="D189" s="724" t="str">
        <f>IF(C12="English","Benzidine",IF(C12="中文","联苯胺","ベンジジン"))</f>
        <v>联苯胺</v>
      </c>
      <c r="E189" s="725"/>
      <c r="F189" s="725"/>
      <c r="G189" s="725"/>
      <c r="H189" s="725"/>
      <c r="I189" s="725"/>
      <c r="J189" s="725"/>
      <c r="K189" s="725"/>
      <c r="L189" s="725"/>
      <c r="M189" s="725"/>
      <c r="N189" s="725"/>
      <c r="O189" s="725"/>
      <c r="P189" s="726"/>
      <c r="Q189" s="721" t="s">
        <v>5</v>
      </c>
      <c r="R189" s="722"/>
      <c r="S189" s="722"/>
      <c r="T189" s="722"/>
      <c r="U189" s="723"/>
      <c r="AG189" s="13"/>
    </row>
    <row r="190" spans="2:34" s="4" customFormat="1" ht="14.1" customHeight="1">
      <c r="B190" s="43"/>
      <c r="C190" s="159">
        <v>7</v>
      </c>
      <c r="D190" s="724" t="str">
        <f>IF(C12="English","o-toluidine",IF(C12="中文","邻甲苯胺","o-トルイジン"))</f>
        <v>邻甲苯胺</v>
      </c>
      <c r="E190" s="725"/>
      <c r="F190" s="725"/>
      <c r="G190" s="725"/>
      <c r="H190" s="725"/>
      <c r="I190" s="725"/>
      <c r="J190" s="725"/>
      <c r="K190" s="725"/>
      <c r="L190" s="725"/>
      <c r="M190" s="725"/>
      <c r="N190" s="725"/>
      <c r="O190" s="725"/>
      <c r="P190" s="726"/>
      <c r="Q190" s="721" t="s">
        <v>6</v>
      </c>
      <c r="R190" s="722"/>
      <c r="S190" s="722"/>
      <c r="T190" s="722"/>
      <c r="U190" s="723"/>
      <c r="AG190" s="13"/>
    </row>
    <row r="191" spans="2:34" s="4" customFormat="1" ht="14.1" customHeight="1">
      <c r="B191" s="43"/>
      <c r="C191" s="159">
        <v>8</v>
      </c>
      <c r="D191" s="724" t="str">
        <f>IF(C12="English","4-chloro-o-toluidine",IF(C12="中文","4-氯-邻-甲苯胺","4-クロロ-o-トルイジン"))</f>
        <v>4-氯-邻-甲苯胺</v>
      </c>
      <c r="E191" s="725"/>
      <c r="F191" s="725"/>
      <c r="G191" s="725"/>
      <c r="H191" s="725"/>
      <c r="I191" s="725"/>
      <c r="J191" s="725"/>
      <c r="K191" s="725"/>
      <c r="L191" s="725"/>
      <c r="M191" s="725"/>
      <c r="N191" s="725"/>
      <c r="O191" s="725"/>
      <c r="P191" s="726"/>
      <c r="Q191" s="721" t="s">
        <v>7</v>
      </c>
      <c r="R191" s="722"/>
      <c r="S191" s="722"/>
      <c r="T191" s="722"/>
      <c r="U191" s="723"/>
      <c r="AG191" s="13"/>
    </row>
    <row r="192" spans="2:34" s="4" customFormat="1" ht="14.1" customHeight="1">
      <c r="B192" s="43"/>
      <c r="C192" s="159">
        <v>9</v>
      </c>
      <c r="D192" s="724" t="str">
        <f>IF(C12="English","2,4-toluenediamine",IF(C12="中文","2,4-甲苯二胺","2, 4-トルエンジアミン"))</f>
        <v>2,4-甲苯二胺</v>
      </c>
      <c r="E192" s="725"/>
      <c r="F192" s="725"/>
      <c r="G192" s="725"/>
      <c r="H192" s="725"/>
      <c r="I192" s="725"/>
      <c r="J192" s="725"/>
      <c r="K192" s="725"/>
      <c r="L192" s="725"/>
      <c r="M192" s="725"/>
      <c r="N192" s="725"/>
      <c r="O192" s="725"/>
      <c r="P192" s="726"/>
      <c r="Q192" s="721" t="s">
        <v>8</v>
      </c>
      <c r="R192" s="722"/>
      <c r="S192" s="722"/>
      <c r="T192" s="722"/>
      <c r="U192" s="723"/>
      <c r="AG192" s="13"/>
    </row>
    <row r="193" spans="2:33" s="4" customFormat="1" ht="14.1" customHeight="1">
      <c r="B193" s="43"/>
      <c r="C193" s="159">
        <v>10</v>
      </c>
      <c r="D193" s="724" t="str">
        <f>IF(C12="English","o-aminoazotoluene",IF(C12="中文","邻氨基偶氮甲苯","o-アミノアゾトルエン"))</f>
        <v>邻氨基偶氮甲苯</v>
      </c>
      <c r="E193" s="725"/>
      <c r="F193" s="725"/>
      <c r="G193" s="725"/>
      <c r="H193" s="725"/>
      <c r="I193" s="725"/>
      <c r="J193" s="725"/>
      <c r="K193" s="725"/>
      <c r="L193" s="725"/>
      <c r="M193" s="725"/>
      <c r="N193" s="725"/>
      <c r="O193" s="725"/>
      <c r="P193" s="726"/>
      <c r="Q193" s="721" t="s">
        <v>9</v>
      </c>
      <c r="R193" s="722"/>
      <c r="S193" s="722"/>
      <c r="T193" s="722"/>
      <c r="U193" s="723"/>
      <c r="AG193" s="13"/>
    </row>
    <row r="194" spans="2:33" s="4" customFormat="1" ht="14.1" customHeight="1">
      <c r="B194" s="43"/>
      <c r="C194" s="159">
        <v>11</v>
      </c>
      <c r="D194" s="724" t="str">
        <f>IF(C12="English","5-nitro-o-toluidine",IF(C12="中文","5-硝基邻甲苯胺","5-ニトロ-o-トルイジン"))</f>
        <v>5-硝基邻甲苯胺</v>
      </c>
      <c r="E194" s="725"/>
      <c r="F194" s="725"/>
      <c r="G194" s="725"/>
      <c r="H194" s="725"/>
      <c r="I194" s="725"/>
      <c r="J194" s="725"/>
      <c r="K194" s="725"/>
      <c r="L194" s="725"/>
      <c r="M194" s="725"/>
      <c r="N194" s="725"/>
      <c r="O194" s="725"/>
      <c r="P194" s="726"/>
      <c r="Q194" s="721" t="s">
        <v>10</v>
      </c>
      <c r="R194" s="722"/>
      <c r="S194" s="722"/>
      <c r="T194" s="722"/>
      <c r="U194" s="723"/>
      <c r="AG194" s="13"/>
    </row>
    <row r="195" spans="2:33" s="4" customFormat="1" ht="14.1" customHeight="1">
      <c r="B195" s="43"/>
      <c r="C195" s="159">
        <v>12</v>
      </c>
      <c r="D195" s="724" t="str">
        <f>IF(C12="English","4,4-methylene-bis-(2-chloroaniline)",IF(C12="中文","4,4'-亚甲基双（2-氯苯胺）","4, 4’-メチレン-ビス-（2-クロロアニリン）"))</f>
        <v>4,4'-亚甲基双（2-氯苯胺）</v>
      </c>
      <c r="E195" s="725"/>
      <c r="F195" s="725"/>
      <c r="G195" s="725"/>
      <c r="H195" s="725"/>
      <c r="I195" s="725"/>
      <c r="J195" s="725"/>
      <c r="K195" s="725"/>
      <c r="L195" s="725"/>
      <c r="M195" s="725"/>
      <c r="N195" s="725"/>
      <c r="O195" s="725"/>
      <c r="P195" s="726"/>
      <c r="Q195" s="721" t="s">
        <v>11</v>
      </c>
      <c r="R195" s="722"/>
      <c r="S195" s="722"/>
      <c r="T195" s="722"/>
      <c r="U195" s="723"/>
      <c r="AG195" s="13"/>
    </row>
    <row r="196" spans="2:33" s="4" customFormat="1" ht="14.1" customHeight="1">
      <c r="B196" s="43"/>
      <c r="C196" s="159">
        <v>13</v>
      </c>
      <c r="D196" s="724" t="str">
        <f>IF(C12="English","4,4-diaminodiphenylmethane",IF(C12="中文","4,4'-二氨基二苯基甲烷","4, 4’-ジアミノジフェニルメタン"))</f>
        <v>4,4'-二氨基二苯基甲烷</v>
      </c>
      <c r="E196" s="725"/>
      <c r="F196" s="725"/>
      <c r="G196" s="725"/>
      <c r="H196" s="725"/>
      <c r="I196" s="725"/>
      <c r="J196" s="725"/>
      <c r="K196" s="725"/>
      <c r="L196" s="725"/>
      <c r="M196" s="725"/>
      <c r="N196" s="725"/>
      <c r="O196" s="725"/>
      <c r="P196" s="726"/>
      <c r="Q196" s="721" t="s">
        <v>12</v>
      </c>
      <c r="R196" s="722"/>
      <c r="S196" s="722"/>
      <c r="T196" s="722"/>
      <c r="U196" s="723"/>
      <c r="AG196" s="13"/>
    </row>
    <row r="197" spans="2:33" s="4" customFormat="1" ht="14.1" customHeight="1">
      <c r="B197" s="43"/>
      <c r="C197" s="159">
        <v>14</v>
      </c>
      <c r="D197" s="724" t="str">
        <f>IF(C12="English","4,4-oxydianiline",IF(C12="中文","4,4'-氧基二苯胺及其盐","4, 4’-オキシジアニリン"))</f>
        <v>4,4'-氧基二苯胺及其盐</v>
      </c>
      <c r="E197" s="725"/>
      <c r="F197" s="725"/>
      <c r="G197" s="725"/>
      <c r="H197" s="725"/>
      <c r="I197" s="725"/>
      <c r="J197" s="725"/>
      <c r="K197" s="725"/>
      <c r="L197" s="725"/>
      <c r="M197" s="725"/>
      <c r="N197" s="725"/>
      <c r="O197" s="725"/>
      <c r="P197" s="726"/>
      <c r="Q197" s="721" t="s">
        <v>13</v>
      </c>
      <c r="R197" s="722"/>
      <c r="S197" s="722"/>
      <c r="T197" s="722"/>
      <c r="U197" s="723"/>
      <c r="AG197" s="13"/>
    </row>
    <row r="198" spans="2:33" s="4" customFormat="1" ht="14.1" customHeight="1">
      <c r="B198" s="43"/>
      <c r="C198" s="159">
        <v>15</v>
      </c>
      <c r="D198" s="724" t="str">
        <f>IF(C12="English","p-chloroaniline",IF(C12="中文","P-氯苯胺","p-クロロアニリン"))</f>
        <v>P-氯苯胺</v>
      </c>
      <c r="E198" s="725"/>
      <c r="F198" s="725"/>
      <c r="G198" s="725"/>
      <c r="H198" s="725"/>
      <c r="I198" s="725"/>
      <c r="J198" s="725"/>
      <c r="K198" s="725"/>
      <c r="L198" s="725"/>
      <c r="M198" s="725"/>
      <c r="N198" s="725"/>
      <c r="O198" s="725"/>
      <c r="P198" s="726"/>
      <c r="Q198" s="721" t="s">
        <v>14</v>
      </c>
      <c r="R198" s="722"/>
      <c r="S198" s="722"/>
      <c r="T198" s="722"/>
      <c r="U198" s="723"/>
      <c r="AG198" s="13"/>
    </row>
    <row r="199" spans="2:33" s="4" customFormat="1" ht="14.1" customHeight="1">
      <c r="C199" s="159">
        <v>16</v>
      </c>
      <c r="D199" s="724" t="str">
        <f>IF(C12="English","3,3-dimethoxybenzidine",IF(C12="中文","3,3'-二甲氧基联苯胺","3, 3’-ジメトキシベンジジン"))</f>
        <v>3,3'-二甲氧基联苯胺</v>
      </c>
      <c r="E199" s="725"/>
      <c r="F199" s="725"/>
      <c r="G199" s="725"/>
      <c r="H199" s="725"/>
      <c r="I199" s="725"/>
      <c r="J199" s="725"/>
      <c r="K199" s="725"/>
      <c r="L199" s="725"/>
      <c r="M199" s="725"/>
      <c r="N199" s="725"/>
      <c r="O199" s="725"/>
      <c r="P199" s="726"/>
      <c r="Q199" s="721" t="s">
        <v>15</v>
      </c>
      <c r="R199" s="722"/>
      <c r="S199" s="722"/>
      <c r="T199" s="722"/>
      <c r="U199" s="723"/>
      <c r="AG199" s="13"/>
    </row>
    <row r="200" spans="2:33" s="4" customFormat="1" ht="14.1" customHeight="1">
      <c r="C200" s="159">
        <v>17</v>
      </c>
      <c r="D200" s="724" t="str">
        <f>IF(C12="English","3,3-dimethylbenzidine",IF(C12="中文","3,3'-二甲基联苯胺","3, 3’-ジメチルベンジジン"))</f>
        <v>3,3'-二甲基联苯胺</v>
      </c>
      <c r="E200" s="725"/>
      <c r="F200" s="725"/>
      <c r="G200" s="725"/>
      <c r="H200" s="725"/>
      <c r="I200" s="725"/>
      <c r="J200" s="725"/>
      <c r="K200" s="725"/>
      <c r="L200" s="725"/>
      <c r="M200" s="725"/>
      <c r="N200" s="725"/>
      <c r="O200" s="725"/>
      <c r="P200" s="726"/>
      <c r="Q200" s="721" t="s">
        <v>16</v>
      </c>
      <c r="R200" s="722"/>
      <c r="S200" s="722"/>
      <c r="T200" s="722"/>
      <c r="U200" s="723"/>
      <c r="AG200" s="13"/>
    </row>
    <row r="201" spans="2:33" s="4" customFormat="1" ht="14.1" customHeight="1">
      <c r="C201" s="159">
        <v>18</v>
      </c>
      <c r="D201" s="724" t="str">
        <f>IF(C12="English","p-cresidine",IF(C12="中文","邻氨基对甲苯甲醚","p-クレシジン"))</f>
        <v>邻氨基对甲苯甲醚</v>
      </c>
      <c r="E201" s="725"/>
      <c r="F201" s="725"/>
      <c r="G201" s="725"/>
      <c r="H201" s="725"/>
      <c r="I201" s="725"/>
      <c r="J201" s="725"/>
      <c r="K201" s="725"/>
      <c r="L201" s="725"/>
      <c r="M201" s="725"/>
      <c r="N201" s="725"/>
      <c r="O201" s="725"/>
      <c r="P201" s="726"/>
      <c r="Q201" s="721" t="s">
        <v>17</v>
      </c>
      <c r="R201" s="722"/>
      <c r="S201" s="722"/>
      <c r="T201" s="722"/>
      <c r="U201" s="723"/>
      <c r="AG201" s="13"/>
    </row>
    <row r="202" spans="2:33" s="4" customFormat="1" ht="14.1" customHeight="1">
      <c r="C202" s="159">
        <v>19</v>
      </c>
      <c r="D202" s="724" t="str">
        <f>IF(C12="English","2,4,5-trimethylaniline",IF(C12="中文","2,4,5-三甲基苯胺","2, 4, 5-トリメチルアニリン"))</f>
        <v>2,4,5-三甲基苯胺</v>
      </c>
      <c r="E202" s="725"/>
      <c r="F202" s="725"/>
      <c r="G202" s="725"/>
      <c r="H202" s="725"/>
      <c r="I202" s="725"/>
      <c r="J202" s="725"/>
      <c r="K202" s="725"/>
      <c r="L202" s="725"/>
      <c r="M202" s="725"/>
      <c r="N202" s="725"/>
      <c r="O202" s="725"/>
      <c r="P202" s="726"/>
      <c r="Q202" s="721" t="s">
        <v>18</v>
      </c>
      <c r="R202" s="722"/>
      <c r="S202" s="722"/>
      <c r="T202" s="722"/>
      <c r="U202" s="723"/>
      <c r="AG202" s="13"/>
    </row>
    <row r="203" spans="2:33" s="4" customFormat="1" ht="14.1" customHeight="1">
      <c r="C203" s="159">
        <v>20</v>
      </c>
      <c r="D203" s="724" t="str">
        <f>IF(C12="English","4,4-thiodianiline",IF(C12="中文","4,4'-硫代二苯胺","4, 4’-チオジアニリン"))</f>
        <v>4,4'-硫代二苯胺</v>
      </c>
      <c r="E203" s="725"/>
      <c r="F203" s="725"/>
      <c r="G203" s="725"/>
      <c r="H203" s="725"/>
      <c r="I203" s="725"/>
      <c r="J203" s="725"/>
      <c r="K203" s="725"/>
      <c r="L203" s="725"/>
      <c r="M203" s="725"/>
      <c r="N203" s="725"/>
      <c r="O203" s="725"/>
      <c r="P203" s="726"/>
      <c r="Q203" s="721" t="s">
        <v>19</v>
      </c>
      <c r="R203" s="722"/>
      <c r="S203" s="722"/>
      <c r="T203" s="722"/>
      <c r="U203" s="723"/>
      <c r="AG203" s="13"/>
    </row>
    <row r="204" spans="2:33" s="4" customFormat="1" ht="14.1" customHeight="1">
      <c r="C204" s="159">
        <v>21</v>
      </c>
      <c r="D204" s="724" t="str">
        <f>IF(C12="English","2,4-diaminoanisole",IF(C12="中文","2,4-二氨基茴香醚","2, 4’-ジアミノアニソール"))</f>
        <v>2,4-二氨基茴香醚</v>
      </c>
      <c r="E204" s="725"/>
      <c r="F204" s="725"/>
      <c r="G204" s="725"/>
      <c r="H204" s="725"/>
      <c r="I204" s="725"/>
      <c r="J204" s="725"/>
      <c r="K204" s="725"/>
      <c r="L204" s="725"/>
      <c r="M204" s="725"/>
      <c r="N204" s="725"/>
      <c r="O204" s="725"/>
      <c r="P204" s="726"/>
      <c r="Q204" s="721" t="s">
        <v>20</v>
      </c>
      <c r="R204" s="722"/>
      <c r="S204" s="722"/>
      <c r="T204" s="722"/>
      <c r="U204" s="723"/>
      <c r="AG204" s="13"/>
    </row>
    <row r="205" spans="2:33" s="4" customFormat="1" ht="14.1" customHeight="1">
      <c r="C205" s="159">
        <v>22</v>
      </c>
      <c r="D205" s="724" t="str">
        <f>IF(C12="English","3,3-dimethyl-4,4-diaminodiphenylmethane",IF(C12="中文","3,3'-二甲基-4,4'-二氨基二苯基甲烷","3, 3’-ジメチル-4, 4’-ジアミノジフェニルメタン"))</f>
        <v>3,3'-二甲基-4,4'-二氨基二苯基甲烷</v>
      </c>
      <c r="E205" s="725"/>
      <c r="F205" s="725"/>
      <c r="G205" s="725"/>
      <c r="H205" s="725"/>
      <c r="I205" s="725"/>
      <c r="J205" s="725"/>
      <c r="K205" s="725"/>
      <c r="L205" s="725"/>
      <c r="M205" s="725"/>
      <c r="N205" s="725"/>
      <c r="O205" s="725"/>
      <c r="P205" s="726"/>
      <c r="Q205" s="721" t="s">
        <v>21</v>
      </c>
      <c r="R205" s="722"/>
      <c r="S205" s="722"/>
      <c r="T205" s="722"/>
      <c r="U205" s="723"/>
      <c r="AG205" s="13"/>
    </row>
    <row r="206" spans="2:33" s="4" customFormat="1" ht="14.1" customHeight="1">
      <c r="C206" s="45"/>
      <c r="D206" s="46"/>
      <c r="Q206" s="45"/>
      <c r="R206" s="13"/>
      <c r="S206" s="13"/>
      <c r="T206" s="13"/>
      <c r="U206" s="13"/>
      <c r="AG206" s="13"/>
    </row>
    <row r="207" spans="2:33" s="4" customFormat="1" ht="14.1" customHeight="1">
      <c r="C207" s="44" t="str">
        <f>IF(C12="English","(*2) PFOA-related substances",IF(C12="中文","(*2）PFOA相关物质","(*2）PFOA関連物質"))</f>
        <v>(*2）PFOA相关物质</v>
      </c>
      <c r="D207" s="46"/>
      <c r="Q207" s="45"/>
      <c r="R207" s="13"/>
      <c r="S207" s="13"/>
      <c r="T207" s="13"/>
      <c r="U207" s="13"/>
      <c r="AG207" s="13"/>
    </row>
    <row r="208" spans="2:33" s="4" customFormat="1" ht="45" customHeight="1">
      <c r="C208" s="39"/>
      <c r="D208" s="738" t="str">
        <f>IF(C12="English","All related substances including salts and polymers with linear or branched perfluoroheptyl (C7F15-)or perfluorooctyl (C8F17-) groups directly bonded to another carbon molecule.",IF(C12="中文","包含一个直链或支链氟代庚基基团，化学式为C7F15-，直接连接在另一个碳原子上，作为一个结构要素的相关物质（包括其盐类和聚合物）。包含一个直链或支链氟代辛基基团，化学式为C8F17-，作为一个结构要素的相关物质（包括其盐类和聚合物）。","別の炭素分子と直接結合する直鎖または分枝のパーフルオロヘプチル基(C7F15-)またはパーフルオロオクチル基(C8F17-)をもつ塩と重合体を含むすべての関連物質"))</f>
        <v>包含一个直链或支链氟代庚基基团，化学式为C7F15-，直接连接在另一个碳原子上，作为一个结构要素的相关物质（包括其盐类和聚合物）。包含一个直链或支链氟代辛基基团，化学式为C8F17-，作为一个结构要素的相关物质（包括其盐类和聚合物）。</v>
      </c>
      <c r="E208" s="294"/>
      <c r="F208" s="294"/>
      <c r="G208" s="294"/>
      <c r="H208" s="294"/>
      <c r="I208" s="294"/>
      <c r="J208" s="294"/>
      <c r="K208" s="294"/>
      <c r="L208" s="294"/>
      <c r="M208" s="294"/>
      <c r="N208" s="294"/>
      <c r="O208" s="294"/>
      <c r="P208" s="294"/>
      <c r="Q208" s="294"/>
      <c r="R208" s="294"/>
      <c r="S208" s="294"/>
      <c r="T208" s="294"/>
      <c r="U208" s="294"/>
      <c r="V208" s="294"/>
      <c r="W208" s="294"/>
      <c r="X208" s="294"/>
      <c r="Y208" s="294"/>
      <c r="Z208" s="294"/>
      <c r="AA208" s="294"/>
      <c r="AB208" s="294"/>
      <c r="AC208" s="294"/>
      <c r="AD208" s="294"/>
      <c r="AE208" s="294"/>
      <c r="AG208" s="13"/>
    </row>
    <row r="209" spans="3:38" s="4" customFormat="1" ht="14.1" customHeight="1">
      <c r="C209" s="44" t="str">
        <f>IF(C12="English","(*3) halogenated diphenylmethane",IF(C12="中文","(*3) 卤代二苯甲烷","(*3) ハロゲン化ジフェニルメタン"))</f>
        <v>(*3) 卤代二苯甲烷</v>
      </c>
      <c r="D209" s="46"/>
      <c r="Q209" s="45"/>
      <c r="R209" s="13"/>
      <c r="S209" s="13"/>
      <c r="T209" s="13"/>
      <c r="U209" s="13"/>
      <c r="AG209" s="13"/>
    </row>
    <row r="210" spans="3:38" s="4" customFormat="1" ht="14.1" customHeight="1">
      <c r="C210" s="40" t="s">
        <v>42</v>
      </c>
      <c r="D210" s="721" t="str">
        <f>IF(C12="English","Chemical substances",IF(C12="中文","化学物质名","化学物質名"))</f>
        <v>化学物质名</v>
      </c>
      <c r="E210" s="739"/>
      <c r="F210" s="739"/>
      <c r="G210" s="739"/>
      <c r="H210" s="739"/>
      <c r="I210" s="739"/>
      <c r="J210" s="739"/>
      <c r="K210" s="739"/>
      <c r="L210" s="739"/>
      <c r="M210" s="739"/>
      <c r="N210" s="739"/>
      <c r="O210" s="739"/>
      <c r="P210" s="739"/>
      <c r="Q210" s="739"/>
      <c r="R210" s="739"/>
      <c r="S210" s="739"/>
      <c r="T210" s="739"/>
      <c r="U210" s="740"/>
      <c r="V210" s="735" t="s">
        <v>41</v>
      </c>
      <c r="W210" s="736"/>
      <c r="X210" s="736"/>
      <c r="Y210" s="736"/>
      <c r="Z210" s="737"/>
      <c r="AL210" s="13"/>
    </row>
    <row r="211" spans="3:38" s="4" customFormat="1" ht="14.1" customHeight="1">
      <c r="C211" s="40">
        <v>1</v>
      </c>
      <c r="D211" s="734" t="str">
        <f>IF(C12="English","Monomethyl-tetrachloro-diphenyl methane (Ugilec 141)",IF(C12="中文","四氯二苯甲烷单甲基酯 (Ugilec 141)","モノメチルテトラクロロジフェニルメタン (Ugilec 141)"))</f>
        <v>四氯二苯甲烷单甲基酯 (Ugilec 141)</v>
      </c>
      <c r="E211" s="639"/>
      <c r="F211" s="639"/>
      <c r="G211" s="639"/>
      <c r="H211" s="639"/>
      <c r="I211" s="639"/>
      <c r="J211" s="639"/>
      <c r="K211" s="639"/>
      <c r="L211" s="639"/>
      <c r="M211" s="639"/>
      <c r="N211" s="639"/>
      <c r="O211" s="639"/>
      <c r="P211" s="639"/>
      <c r="Q211" s="639"/>
      <c r="R211" s="639"/>
      <c r="S211" s="639"/>
      <c r="T211" s="639"/>
      <c r="U211" s="640"/>
      <c r="V211" s="735" t="s">
        <v>40</v>
      </c>
      <c r="W211" s="736"/>
      <c r="X211" s="736"/>
      <c r="Y211" s="736"/>
      <c r="Z211" s="737"/>
      <c r="AL211" s="13"/>
    </row>
    <row r="212" spans="3:38" s="4" customFormat="1" ht="14.1" customHeight="1">
      <c r="C212" s="40">
        <v>2</v>
      </c>
      <c r="D212" s="734" t="str">
        <f>IF(C12="English","Monomethyl-dichloro-diphenyl methane (Ugilec 121, Ugilec 21)",IF(C12="中文","单二氯二苯基甲烷 (Ugilec 121, Ugilec 21)","モノメチルジクロロジフェニルメタン 
(Ugilec 121, Ugilec 21)
"))</f>
        <v>单二氯二苯基甲烷 (Ugilec 121, Ugilec 21)</v>
      </c>
      <c r="E212" s="639"/>
      <c r="F212" s="639"/>
      <c r="G212" s="639"/>
      <c r="H212" s="639"/>
      <c r="I212" s="639"/>
      <c r="J212" s="639"/>
      <c r="K212" s="639"/>
      <c r="L212" s="639"/>
      <c r="M212" s="639"/>
      <c r="N212" s="639"/>
      <c r="O212" s="639"/>
      <c r="P212" s="639"/>
      <c r="Q212" s="639"/>
      <c r="R212" s="639"/>
      <c r="S212" s="639"/>
      <c r="T212" s="639"/>
      <c r="U212" s="640"/>
      <c r="V212" s="735" t="s">
        <v>22</v>
      </c>
      <c r="W212" s="736"/>
      <c r="X212" s="736"/>
      <c r="Y212" s="736"/>
      <c r="Z212" s="737"/>
      <c r="AL212" s="13"/>
    </row>
    <row r="213" spans="3:38" s="4" customFormat="1" ht="14.1" customHeight="1">
      <c r="C213" s="40">
        <v>3</v>
      </c>
      <c r="D213" s="734" t="str">
        <f>IF(C12="English","Monomethyl-dibromo-diphenyl methane (DBBT)",IF(C12="中文","单甲基二溴二苯基甲烷 (DBBT)","モノメチルジブロモジフェニルメタン (DBBT)"))</f>
        <v>单甲基二溴二苯基甲烷 (DBBT)</v>
      </c>
      <c r="E213" s="639"/>
      <c r="F213" s="639"/>
      <c r="G213" s="639"/>
      <c r="H213" s="639"/>
      <c r="I213" s="639"/>
      <c r="J213" s="639"/>
      <c r="K213" s="639"/>
      <c r="L213" s="639"/>
      <c r="M213" s="639"/>
      <c r="N213" s="639"/>
      <c r="O213" s="639"/>
      <c r="P213" s="639"/>
      <c r="Q213" s="639"/>
      <c r="R213" s="639"/>
      <c r="S213" s="639"/>
      <c r="T213" s="639"/>
      <c r="U213" s="640"/>
      <c r="V213" s="735" t="s">
        <v>23</v>
      </c>
      <c r="W213" s="736"/>
      <c r="X213" s="736"/>
      <c r="Y213" s="736"/>
      <c r="Z213" s="737"/>
      <c r="AL213" s="13"/>
    </row>
  </sheetData>
  <mergeCells count="438">
    <mergeCell ref="D211:U211"/>
    <mergeCell ref="V211:Z211"/>
    <mergeCell ref="D212:U212"/>
    <mergeCell ref="V212:Z212"/>
    <mergeCell ref="D213:U213"/>
    <mergeCell ref="V213:Z213"/>
    <mergeCell ref="D204:P204"/>
    <mergeCell ref="Q204:U204"/>
    <mergeCell ref="D205:P205"/>
    <mergeCell ref="Q205:U205"/>
    <mergeCell ref="D208:AE208"/>
    <mergeCell ref="D210:U210"/>
    <mergeCell ref="V210:Z210"/>
    <mergeCell ref="D201:P201"/>
    <mergeCell ref="Q201:U201"/>
    <mergeCell ref="D202:P202"/>
    <mergeCell ref="Q202:U202"/>
    <mergeCell ref="D203:P203"/>
    <mergeCell ref="Q203:U203"/>
    <mergeCell ref="D198:P198"/>
    <mergeCell ref="Q198:U198"/>
    <mergeCell ref="D199:P199"/>
    <mergeCell ref="Q199:U199"/>
    <mergeCell ref="D200:P200"/>
    <mergeCell ref="Q200:U200"/>
    <mergeCell ref="D195:P195"/>
    <mergeCell ref="Q195:U195"/>
    <mergeCell ref="D196:P196"/>
    <mergeCell ref="Q196:U196"/>
    <mergeCell ref="D197:P197"/>
    <mergeCell ref="Q197:U197"/>
    <mergeCell ref="D192:P192"/>
    <mergeCell ref="Q192:U192"/>
    <mergeCell ref="D193:P193"/>
    <mergeCell ref="Q193:U193"/>
    <mergeCell ref="D194:P194"/>
    <mergeCell ref="Q194:U194"/>
    <mergeCell ref="D189:P189"/>
    <mergeCell ref="Q189:U189"/>
    <mergeCell ref="D190:P190"/>
    <mergeCell ref="Q190:U190"/>
    <mergeCell ref="D191:P191"/>
    <mergeCell ref="Q191:U191"/>
    <mergeCell ref="D186:P186"/>
    <mergeCell ref="Q186:U186"/>
    <mergeCell ref="D187:P187"/>
    <mergeCell ref="Q187:U187"/>
    <mergeCell ref="D188:P188"/>
    <mergeCell ref="Q188:U188"/>
    <mergeCell ref="D183:P183"/>
    <mergeCell ref="Q183:U183"/>
    <mergeCell ref="D184:P184"/>
    <mergeCell ref="Q184:U184"/>
    <mergeCell ref="D185:P185"/>
    <mergeCell ref="Q185:U185"/>
    <mergeCell ref="C178:C180"/>
    <mergeCell ref="D178:P180"/>
    <mergeCell ref="Q178:AB178"/>
    <mergeCell ref="AC178:AE180"/>
    <mergeCell ref="Q179:AB179"/>
    <mergeCell ref="Q180:AB180"/>
    <mergeCell ref="D176:P176"/>
    <mergeCell ref="Q176:W176"/>
    <mergeCell ref="X176:AB176"/>
    <mergeCell ref="AC176:AE176"/>
    <mergeCell ref="D177:P177"/>
    <mergeCell ref="Q177:W177"/>
    <mergeCell ref="X177:AB177"/>
    <mergeCell ref="AC177:AE177"/>
    <mergeCell ref="D169:P169"/>
    <mergeCell ref="Q169:W169"/>
    <mergeCell ref="X169:AB169"/>
    <mergeCell ref="AC169:AE169"/>
    <mergeCell ref="D175:P175"/>
    <mergeCell ref="Q175:W175"/>
    <mergeCell ref="X175:AB175"/>
    <mergeCell ref="AC175:AE175"/>
    <mergeCell ref="D167:P167"/>
    <mergeCell ref="Q167:W167"/>
    <mergeCell ref="X167:AB167"/>
    <mergeCell ref="AC167:AE167"/>
    <mergeCell ref="D168:P168"/>
    <mergeCell ref="Q168:W168"/>
    <mergeCell ref="X168:AB168"/>
    <mergeCell ref="AC168:AE168"/>
    <mergeCell ref="D165:P165"/>
    <mergeCell ref="Q165:W165"/>
    <mergeCell ref="X165:AB165"/>
    <mergeCell ref="AC165:AE165"/>
    <mergeCell ref="D166:P166"/>
    <mergeCell ref="Q166:W166"/>
    <mergeCell ref="X166:AB166"/>
    <mergeCell ref="AC166:AE166"/>
    <mergeCell ref="D163:P163"/>
    <mergeCell ref="Q163:W163"/>
    <mergeCell ref="X163:AB163"/>
    <mergeCell ref="AC163:AE163"/>
    <mergeCell ref="D164:P164"/>
    <mergeCell ref="Q164:W164"/>
    <mergeCell ref="X164:AB164"/>
    <mergeCell ref="AC164:AE164"/>
    <mergeCell ref="D161:P161"/>
    <mergeCell ref="Q161:W161"/>
    <mergeCell ref="X161:AB161"/>
    <mergeCell ref="AC161:AE161"/>
    <mergeCell ref="D162:P162"/>
    <mergeCell ref="Q162:W162"/>
    <mergeCell ref="X162:AB162"/>
    <mergeCell ref="AC162:AE162"/>
    <mergeCell ref="D159:P159"/>
    <mergeCell ref="Q159:W159"/>
    <mergeCell ref="X159:AB159"/>
    <mergeCell ref="AC159:AE159"/>
    <mergeCell ref="D160:P160"/>
    <mergeCell ref="Q160:W160"/>
    <mergeCell ref="X160:AB160"/>
    <mergeCell ref="AC160:AE160"/>
    <mergeCell ref="C144:C152"/>
    <mergeCell ref="D157:P157"/>
    <mergeCell ref="Q157:W157"/>
    <mergeCell ref="X157:AB157"/>
    <mergeCell ref="AC157:AE157"/>
    <mergeCell ref="D158:P158"/>
    <mergeCell ref="Q158:W158"/>
    <mergeCell ref="X158:AB158"/>
    <mergeCell ref="AC158:AE158"/>
    <mergeCell ref="Q155:W155"/>
    <mergeCell ref="X155:AB155"/>
    <mergeCell ref="D156:P156"/>
    <mergeCell ref="Q156:W156"/>
    <mergeCell ref="X156:AB156"/>
    <mergeCell ref="AC156:AE156"/>
    <mergeCell ref="D153:P153"/>
    <mergeCell ref="Q153:W153"/>
    <mergeCell ref="X153:AB153"/>
    <mergeCell ref="AC153:AE153"/>
    <mergeCell ref="C154:C155"/>
    <mergeCell ref="D154:P155"/>
    <mergeCell ref="Q154:W154"/>
    <mergeCell ref="X154:AB154"/>
    <mergeCell ref="AC154:AE155"/>
    <mergeCell ref="D149:P149"/>
    <mergeCell ref="Q149:W152"/>
    <mergeCell ref="X149:Y152"/>
    <mergeCell ref="Z149:AB152"/>
    <mergeCell ref="AC149:AE149"/>
    <mergeCell ref="D150:P150"/>
    <mergeCell ref="AC150:AE150"/>
    <mergeCell ref="D151:P151"/>
    <mergeCell ref="AC151:AE151"/>
    <mergeCell ref="D152:P152"/>
    <mergeCell ref="AC152:AE152"/>
    <mergeCell ref="AC145:AE145"/>
    <mergeCell ref="D146:P146"/>
    <mergeCell ref="AC146:AE146"/>
    <mergeCell ref="D147:P147"/>
    <mergeCell ref="AC147:AE147"/>
    <mergeCell ref="D148:P148"/>
    <mergeCell ref="AC148:AE148"/>
    <mergeCell ref="D135:P135"/>
    <mergeCell ref="Q135:W135"/>
    <mergeCell ref="X135:AB135"/>
    <mergeCell ref="AC135:AE135"/>
    <mergeCell ref="D144:P144"/>
    <mergeCell ref="Q144:W148"/>
    <mergeCell ref="X144:AB148"/>
    <mergeCell ref="AC144:AE144"/>
    <mergeCell ref="D145:P145"/>
    <mergeCell ref="D133:P133"/>
    <mergeCell ref="Q133:W133"/>
    <mergeCell ref="X133:AB133"/>
    <mergeCell ref="AC133:AE133"/>
    <mergeCell ref="D134:P134"/>
    <mergeCell ref="Q134:W134"/>
    <mergeCell ref="X134:AB134"/>
    <mergeCell ref="AC134:AE134"/>
    <mergeCell ref="D131:P131"/>
    <mergeCell ref="Q131:W131"/>
    <mergeCell ref="X131:AB131"/>
    <mergeCell ref="AC131:AE131"/>
    <mergeCell ref="D132:P132"/>
    <mergeCell ref="Q132:W132"/>
    <mergeCell ref="X132:AB132"/>
    <mergeCell ref="AC132:AE132"/>
    <mergeCell ref="D129:P129"/>
    <mergeCell ref="Q129:W129"/>
    <mergeCell ref="X129:AB129"/>
    <mergeCell ref="AC129:AE129"/>
    <mergeCell ref="D130:P130"/>
    <mergeCell ref="Q130:W130"/>
    <mergeCell ref="X130:AB130"/>
    <mergeCell ref="AC130:AE130"/>
    <mergeCell ref="D127:P127"/>
    <mergeCell ref="Q127:W127"/>
    <mergeCell ref="X127:AB127"/>
    <mergeCell ref="AC127:AE127"/>
    <mergeCell ref="D128:P128"/>
    <mergeCell ref="Q128:W128"/>
    <mergeCell ref="X128:AB128"/>
    <mergeCell ref="AC128:AE128"/>
    <mergeCell ref="D125:P125"/>
    <mergeCell ref="Q125:W125"/>
    <mergeCell ref="X125:AB125"/>
    <mergeCell ref="AC125:AE125"/>
    <mergeCell ref="D126:P126"/>
    <mergeCell ref="Q126:W126"/>
    <mergeCell ref="X126:AB126"/>
    <mergeCell ref="AC126:AE126"/>
    <mergeCell ref="D123:P123"/>
    <mergeCell ref="Q123:W123"/>
    <mergeCell ref="X123:AB123"/>
    <mergeCell ref="AC123:AE123"/>
    <mergeCell ref="D124:P124"/>
    <mergeCell ref="Q124:W124"/>
    <mergeCell ref="X124:AB124"/>
    <mergeCell ref="AC124:AE124"/>
    <mergeCell ref="D120:P120"/>
    <mergeCell ref="Q120:W120"/>
    <mergeCell ref="X120:AB120"/>
    <mergeCell ref="AC120:AE120"/>
    <mergeCell ref="D122:P122"/>
    <mergeCell ref="Q122:W122"/>
    <mergeCell ref="X122:AB122"/>
    <mergeCell ref="AC122:AE122"/>
    <mergeCell ref="D118:P118"/>
    <mergeCell ref="Q118:W118"/>
    <mergeCell ref="X118:AB118"/>
    <mergeCell ref="AC118:AE118"/>
    <mergeCell ref="D119:P119"/>
    <mergeCell ref="Q119:W119"/>
    <mergeCell ref="X119:AB119"/>
    <mergeCell ref="AC119:AE119"/>
    <mergeCell ref="D116:P116"/>
    <mergeCell ref="Q116:W116"/>
    <mergeCell ref="X116:AB116"/>
    <mergeCell ref="AC116:AE116"/>
    <mergeCell ref="D117:P117"/>
    <mergeCell ref="Q117:W117"/>
    <mergeCell ref="X117:AB117"/>
    <mergeCell ref="AC117:AE117"/>
    <mergeCell ref="D114:P114"/>
    <mergeCell ref="Q114:W114"/>
    <mergeCell ref="X114:AB114"/>
    <mergeCell ref="AC114:AE114"/>
    <mergeCell ref="D115:P115"/>
    <mergeCell ref="Q115:W115"/>
    <mergeCell ref="X115:AB115"/>
    <mergeCell ref="AC115:AE115"/>
    <mergeCell ref="D112:P112"/>
    <mergeCell ref="Q112:W112"/>
    <mergeCell ref="X112:AB112"/>
    <mergeCell ref="AC112:AE112"/>
    <mergeCell ref="D113:P113"/>
    <mergeCell ref="Q113:W113"/>
    <mergeCell ref="X113:AB113"/>
    <mergeCell ref="AC113:AE113"/>
    <mergeCell ref="D110:P110"/>
    <mergeCell ref="Q110:W110"/>
    <mergeCell ref="X110:AB110"/>
    <mergeCell ref="AC110:AE110"/>
    <mergeCell ref="D111:P111"/>
    <mergeCell ref="Q111:W111"/>
    <mergeCell ref="X111:AB111"/>
    <mergeCell ref="AC111:AE111"/>
    <mergeCell ref="AC108:AE108"/>
    <mergeCell ref="D109:P109"/>
    <mergeCell ref="Q109:W109"/>
    <mergeCell ref="X109:AB109"/>
    <mergeCell ref="AC109:AE109"/>
    <mergeCell ref="AC102:AE102"/>
    <mergeCell ref="D103:P103"/>
    <mergeCell ref="Q103:W105"/>
    <mergeCell ref="X103:AB105"/>
    <mergeCell ref="AC103:AE105"/>
    <mergeCell ref="D104:P104"/>
    <mergeCell ref="D105:P105"/>
    <mergeCell ref="C102:C105"/>
    <mergeCell ref="D102:P102"/>
    <mergeCell ref="Q102:W102"/>
    <mergeCell ref="X102:AB102"/>
    <mergeCell ref="C97:C101"/>
    <mergeCell ref="D97:P97"/>
    <mergeCell ref="Q97:W97"/>
    <mergeCell ref="X97:AB97"/>
    <mergeCell ref="D108:P108"/>
    <mergeCell ref="Q108:W108"/>
    <mergeCell ref="X108:AB108"/>
    <mergeCell ref="C92:C96"/>
    <mergeCell ref="D92:P92"/>
    <mergeCell ref="Q92:W92"/>
    <mergeCell ref="X92:AB92"/>
    <mergeCell ref="AC92:AE92"/>
    <mergeCell ref="D93:P93"/>
    <mergeCell ref="Q93:W96"/>
    <mergeCell ref="AC97:AE97"/>
    <mergeCell ref="D98:P98"/>
    <mergeCell ref="Q98:W101"/>
    <mergeCell ref="X98:AB101"/>
    <mergeCell ref="AC98:AE101"/>
    <mergeCell ref="D99:P99"/>
    <mergeCell ref="X93:AB96"/>
    <mergeCell ref="AC93:AE93"/>
    <mergeCell ref="D94:P94"/>
    <mergeCell ref="AC94:AE94"/>
    <mergeCell ref="D95:P95"/>
    <mergeCell ref="AC95:AE95"/>
    <mergeCell ref="D96:P96"/>
    <mergeCell ref="AC96:AE96"/>
    <mergeCell ref="D100:P100"/>
    <mergeCell ref="D101:P101"/>
    <mergeCell ref="X89:AB89"/>
    <mergeCell ref="C90:C91"/>
    <mergeCell ref="D90:P91"/>
    <mergeCell ref="Q90:W90"/>
    <mergeCell ref="X90:AB90"/>
    <mergeCell ref="D85:P85"/>
    <mergeCell ref="X85:AB85"/>
    <mergeCell ref="AC90:AE91"/>
    <mergeCell ref="Q91:W91"/>
    <mergeCell ref="X91:AB91"/>
    <mergeCell ref="C81:C84"/>
    <mergeCell ref="D81:P81"/>
    <mergeCell ref="X81:AB81"/>
    <mergeCell ref="C76:C80"/>
    <mergeCell ref="D76:P76"/>
    <mergeCell ref="Q76:W89"/>
    <mergeCell ref="X76:AB76"/>
    <mergeCell ref="AC85:AE85"/>
    <mergeCell ref="C86:C88"/>
    <mergeCell ref="D86:P86"/>
    <mergeCell ref="X86:AB86"/>
    <mergeCell ref="AC86:AE89"/>
    <mergeCell ref="D87:P87"/>
    <mergeCell ref="X87:AB87"/>
    <mergeCell ref="D88:P88"/>
    <mergeCell ref="AC81:AE84"/>
    <mergeCell ref="D82:P82"/>
    <mergeCell ref="X82:AB82"/>
    <mergeCell ref="D83:P83"/>
    <mergeCell ref="X83:AB83"/>
    <mergeCell ref="D84:P84"/>
    <mergeCell ref="X84:AB84"/>
    <mergeCell ref="X88:AB88"/>
    <mergeCell ref="D89:P89"/>
    <mergeCell ref="AC76:AE80"/>
    <mergeCell ref="D77:P77"/>
    <mergeCell ref="X77:AB77"/>
    <mergeCell ref="D78:P78"/>
    <mergeCell ref="X78:AB78"/>
    <mergeCell ref="D79:P79"/>
    <mergeCell ref="D69:H69"/>
    <mergeCell ref="I69:Q69"/>
    <mergeCell ref="R69:X69"/>
    <mergeCell ref="Y69:AE69"/>
    <mergeCell ref="Z71:AE71"/>
    <mergeCell ref="D75:P75"/>
    <mergeCell ref="Q75:W75"/>
    <mergeCell ref="X75:AB75"/>
    <mergeCell ref="AC75:AE75"/>
    <mergeCell ref="X79:AB79"/>
    <mergeCell ref="D80:P80"/>
    <mergeCell ref="X80:AB80"/>
    <mergeCell ref="D67:H67"/>
    <mergeCell ref="I67:Q67"/>
    <mergeCell ref="R67:X67"/>
    <mergeCell ref="Y67:AE67"/>
    <mergeCell ref="D68:H68"/>
    <mergeCell ref="I68:Q68"/>
    <mergeCell ref="R68:X68"/>
    <mergeCell ref="Y68:AE68"/>
    <mergeCell ref="D65:H65"/>
    <mergeCell ref="I65:Q65"/>
    <mergeCell ref="R65:X65"/>
    <mergeCell ref="Y65:AE65"/>
    <mergeCell ref="D66:H66"/>
    <mergeCell ref="I66:Q66"/>
    <mergeCell ref="R66:X66"/>
    <mergeCell ref="Y66:AE66"/>
    <mergeCell ref="C61:AE61"/>
    <mergeCell ref="C62:AE62"/>
    <mergeCell ref="C63:AE63"/>
    <mergeCell ref="D64:H64"/>
    <mergeCell ref="I64:Q64"/>
    <mergeCell ref="R64:X64"/>
    <mergeCell ref="Y64:AE64"/>
    <mergeCell ref="C54:D54"/>
    <mergeCell ref="E54:AE54"/>
    <mergeCell ref="C57:D57"/>
    <mergeCell ref="E57:AE57"/>
    <mergeCell ref="C59:D59"/>
    <mergeCell ref="E59:AE59"/>
    <mergeCell ref="C51:G51"/>
    <mergeCell ref="H51:P51"/>
    <mergeCell ref="R51:V51"/>
    <mergeCell ref="W51:AE51"/>
    <mergeCell ref="C52:G52"/>
    <mergeCell ref="H52:P52"/>
    <mergeCell ref="R52:V52"/>
    <mergeCell ref="W52:AE52"/>
    <mergeCell ref="B46:AE46"/>
    <mergeCell ref="B47:Z47"/>
    <mergeCell ref="C50:G50"/>
    <mergeCell ref="H50:P50"/>
    <mergeCell ref="R50:V50"/>
    <mergeCell ref="W50:AE50"/>
    <mergeCell ref="B31:G31"/>
    <mergeCell ref="H31:P31"/>
    <mergeCell ref="Q31:V31"/>
    <mergeCell ref="W31:AC31"/>
    <mergeCell ref="B33:AE42"/>
    <mergeCell ref="B44:AF44"/>
    <mergeCell ref="B29:G29"/>
    <mergeCell ref="H29:P29"/>
    <mergeCell ref="Q29:V29"/>
    <mergeCell ref="W29:AE29"/>
    <mergeCell ref="B30:G30"/>
    <mergeCell ref="H30:P30"/>
    <mergeCell ref="Q30:V30"/>
    <mergeCell ref="W30:AE30"/>
    <mergeCell ref="B28:G28"/>
    <mergeCell ref="H28:P28"/>
    <mergeCell ref="Q28:V28"/>
    <mergeCell ref="W28:AE28"/>
    <mergeCell ref="A19:AE19"/>
    <mergeCell ref="Z20:AE20"/>
    <mergeCell ref="B21:AE22"/>
    <mergeCell ref="C23:V23"/>
    <mergeCell ref="X23:AE23"/>
    <mergeCell ref="B24:O24"/>
    <mergeCell ref="B3:AE3"/>
    <mergeCell ref="C5:H5"/>
    <mergeCell ref="B9:AD9"/>
    <mergeCell ref="C12:Z12"/>
    <mergeCell ref="B14:AD14"/>
    <mergeCell ref="C15:AD15"/>
    <mergeCell ref="B25:O25"/>
    <mergeCell ref="B26:G26"/>
    <mergeCell ref="U26:AE26"/>
  </mergeCells>
  <phoneticPr fontId="2"/>
  <dataValidations count="5">
    <dataValidation type="list" allowBlank="1" showInputMessage="1" sqref="AC76:AD76 AC81:AD81 AC98:AD101 AC103:AD103 AC93:AD96 G182 AC108:AD143 AC90:AD90 AC85:AD86 AC145:AD154 AC106:AD106 AC156:AD178">
      <formula1>"○"</formula1>
    </dataValidation>
    <dataValidation allowBlank="1" showInputMessage="1" sqref="AC144:AE144"/>
    <dataValidation type="list" allowBlank="1" showInputMessage="1" showErrorMessage="1" sqref="C6:F6">
      <formula1>$AH$6:$AH$6</formula1>
    </dataValidation>
    <dataValidation type="list" allowBlank="1" showInputMessage="1" showErrorMessage="1" sqref="C5:H5">
      <formula1>$AH$5:$AH$6</formula1>
    </dataValidation>
    <dataValidation type="list" allowBlank="1" showInputMessage="1" showErrorMessage="1" sqref="C12:Z12">
      <formula1>$AH$10:$AH$12</formula1>
    </dataValidation>
  </dataValidations>
  <hyperlinks>
    <hyperlink ref="C63" r:id="rId1"/>
    <hyperlink ref="B47" r:id="rId2"/>
  </hyperlinks>
  <pageMargins left="0.39370078740157483" right="0.19685039370078741" top="0.59055118110236227" bottom="0.39370078740157483" header="0.19685039370078741" footer="0.19685039370078741"/>
  <pageSetup paperSize="9" orientation="portrait" cellComments="asDisplayed" r:id="rId3"/>
  <headerFooter>
    <oddHeader>&amp;R&amp;P page</oddHeader>
    <oddFooter>&amp;C&amp;"ＭＳ ゴシック,標準"&amp;9MinebeaMitsumi Inc.</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5601" r:id="rId6" name="Check Box 1">
              <controlPr defaultSize="0" autoFill="0" autoLine="0" autoPict="0">
                <anchor moveWithCells="1">
                  <from>
                    <xdr:col>2</xdr:col>
                    <xdr:colOff>129540</xdr:colOff>
                    <xdr:row>52</xdr:row>
                    <xdr:rowOff>106680</xdr:rowOff>
                  </from>
                  <to>
                    <xdr:col>5</xdr:col>
                    <xdr:colOff>190500</xdr:colOff>
                    <xdr:row>54</xdr:row>
                    <xdr:rowOff>30480</xdr:rowOff>
                  </to>
                </anchor>
              </controlPr>
            </control>
          </mc:Choice>
        </mc:AlternateContent>
        <mc:AlternateContent xmlns:mc="http://schemas.openxmlformats.org/markup-compatibility/2006">
          <mc:Choice Requires="x14">
            <control shapeId="25602" r:id="rId7" name="Check Box 2">
              <controlPr defaultSize="0" autoFill="0" autoLine="0" autoPict="0">
                <anchor moveWithCells="1">
                  <from>
                    <xdr:col>2</xdr:col>
                    <xdr:colOff>129540</xdr:colOff>
                    <xdr:row>55</xdr:row>
                    <xdr:rowOff>182880</xdr:rowOff>
                  </from>
                  <to>
                    <xdr:col>5</xdr:col>
                    <xdr:colOff>205740</xdr:colOff>
                    <xdr:row>57</xdr:row>
                    <xdr:rowOff>30480</xdr:rowOff>
                  </to>
                </anchor>
              </controlPr>
            </control>
          </mc:Choice>
        </mc:AlternateContent>
        <mc:AlternateContent xmlns:mc="http://schemas.openxmlformats.org/markup-compatibility/2006">
          <mc:Choice Requires="x14">
            <control shapeId="25603" r:id="rId8" name="Check Box 3">
              <controlPr defaultSize="0" autoFill="0" autoLine="0" autoPict="0">
                <anchor moveWithCells="1">
                  <from>
                    <xdr:col>2</xdr:col>
                    <xdr:colOff>129540</xdr:colOff>
                    <xdr:row>57</xdr:row>
                    <xdr:rowOff>106680</xdr:rowOff>
                  </from>
                  <to>
                    <xdr:col>5</xdr:col>
                    <xdr:colOff>190500</xdr:colOff>
                    <xdr:row>59</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0093"/>
  </sheetPr>
  <dimension ref="A1:AN92"/>
  <sheetViews>
    <sheetView showGridLines="0" zoomScaleNormal="100" zoomScaleSheetLayoutView="100" workbookViewId="0">
      <selection activeCell="C6" sqref="C6:AC6"/>
    </sheetView>
  </sheetViews>
  <sheetFormatPr defaultColWidth="9" defaultRowHeight="15.6"/>
  <cols>
    <col min="1" max="1" width="1.109375" style="173" customWidth="1"/>
    <col min="2" max="30" width="3.109375" style="173" customWidth="1"/>
    <col min="31" max="34" width="2.6640625" style="173" customWidth="1"/>
    <col min="35" max="35" width="1.33203125" style="173" customWidth="1"/>
    <col min="36" max="36" width="9" style="173"/>
    <col min="37" max="37" width="9" style="173" hidden="1" customWidth="1"/>
    <col min="38" max="16384" width="9" style="173"/>
  </cols>
  <sheetData>
    <row r="1" spans="2:38" ht="16.2" thickBot="1"/>
    <row r="2" spans="2:38" s="172" customFormat="1">
      <c r="B2" s="10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3"/>
      <c r="AJ2" s="3"/>
    </row>
    <row r="3" spans="2:38" s="172" customFormat="1" ht="45" customHeight="1">
      <c r="B3" s="293" t="s">
        <v>50</v>
      </c>
      <c r="C3" s="805"/>
      <c r="D3" s="805"/>
      <c r="E3" s="805"/>
      <c r="F3" s="805"/>
      <c r="G3" s="805"/>
      <c r="H3" s="805"/>
      <c r="I3" s="805"/>
      <c r="J3" s="805"/>
      <c r="K3" s="805"/>
      <c r="L3" s="805"/>
      <c r="M3" s="805"/>
      <c r="N3" s="805"/>
      <c r="O3" s="805"/>
      <c r="P3" s="805"/>
      <c r="Q3" s="805"/>
      <c r="R3" s="805"/>
      <c r="S3" s="805"/>
      <c r="T3" s="805"/>
      <c r="U3" s="805"/>
      <c r="V3" s="805"/>
      <c r="W3" s="805"/>
      <c r="X3" s="805"/>
      <c r="Y3" s="805"/>
      <c r="Z3" s="805"/>
      <c r="AA3" s="805"/>
      <c r="AB3" s="805"/>
      <c r="AC3" s="805"/>
      <c r="AD3" s="805"/>
      <c r="AE3" s="805"/>
      <c r="AF3" s="805"/>
      <c r="AG3" s="805"/>
      <c r="AH3" s="105"/>
      <c r="AJ3" s="3"/>
    </row>
    <row r="4" spans="2:38" s="172" customFormat="1" ht="14.25" customHeight="1">
      <c r="B4" s="11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05"/>
      <c r="AJ4" s="3"/>
    </row>
    <row r="5" spans="2:38" s="78" customFormat="1" ht="16.2" thickBot="1">
      <c r="B5" s="116" t="s">
        <v>39</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8"/>
    </row>
    <row r="6" spans="2:38" s="78" customFormat="1" ht="16.2" thickBot="1">
      <c r="B6" s="116"/>
      <c r="C6" s="781" t="s">
        <v>63</v>
      </c>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3"/>
      <c r="AD6" s="117"/>
      <c r="AE6" s="117"/>
      <c r="AF6" s="117"/>
      <c r="AG6" s="117"/>
      <c r="AH6" s="118"/>
      <c r="AL6" s="76"/>
    </row>
    <row r="7" spans="2:38" s="78" customFormat="1">
      <c r="B7" s="116"/>
      <c r="C7" s="117"/>
      <c r="D7" s="117"/>
      <c r="E7" s="117"/>
      <c r="F7" s="117"/>
      <c r="G7" s="117"/>
      <c r="H7" s="7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8"/>
    </row>
    <row r="8" spans="2:38" s="78" customFormat="1" ht="35.1" customHeight="1">
      <c r="B8" s="793" t="str">
        <f>IF(C6="English","２、MinebeaMitsumi Group entered  ✔ for survey target substances.
        Warranty that it is not used for substances in which ✔ is entered. ",IF(C6="中文","２、请在美蓓亚三美集团的调查对象物质处打✔。             
        打✔的物质，请保证没有使用。","２、ミネベアミツミグループで調査対象物質に  ✔  を付けております。
        ✔の付いている物質について使用していないことを保証下さい。"))</f>
        <v xml:space="preserve">２、MinebeaMitsumi Group entered  ✔ for survey target substances.
        Warranty that it is not used for substances in which ✔ is entered. </v>
      </c>
      <c r="C8" s="794"/>
      <c r="D8" s="794"/>
      <c r="E8" s="794"/>
      <c r="F8" s="794"/>
      <c r="G8" s="794"/>
      <c r="H8" s="794"/>
      <c r="I8" s="794"/>
      <c r="J8" s="794"/>
      <c r="K8" s="794"/>
      <c r="L8" s="794"/>
      <c r="M8" s="794"/>
      <c r="N8" s="794"/>
      <c r="O8" s="794"/>
      <c r="P8" s="794"/>
      <c r="Q8" s="794"/>
      <c r="R8" s="794"/>
      <c r="S8" s="794"/>
      <c r="T8" s="794"/>
      <c r="U8" s="794"/>
      <c r="V8" s="794"/>
      <c r="W8" s="794"/>
      <c r="X8" s="794"/>
      <c r="Y8" s="794"/>
      <c r="Z8" s="794"/>
      <c r="AA8" s="794"/>
      <c r="AB8" s="794"/>
      <c r="AC8" s="794"/>
      <c r="AD8" s="117"/>
      <c r="AE8" s="117"/>
      <c r="AF8" s="117"/>
      <c r="AG8" s="117"/>
      <c r="AH8" s="118"/>
    </row>
    <row r="9" spans="2:38" s="78" customFormat="1" ht="16.2" thickBot="1">
      <c r="B9" s="119"/>
      <c r="C9" s="120"/>
      <c r="D9" s="120"/>
      <c r="E9" s="120"/>
      <c r="F9" s="120"/>
      <c r="G9" s="120"/>
      <c r="H9" s="121"/>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2"/>
    </row>
    <row r="10" spans="2:38" s="78" customFormat="1">
      <c r="B10" s="117"/>
      <c r="C10" s="117"/>
      <c r="D10" s="117"/>
      <c r="E10" s="117"/>
      <c r="F10" s="117"/>
      <c r="G10" s="117"/>
      <c r="H10" s="7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row>
    <row r="11" spans="2:38" ht="5.0999999999999996" customHeight="1">
      <c r="AC11" s="784"/>
      <c r="AD11" s="784"/>
      <c r="AE11" s="784"/>
      <c r="AF11" s="784"/>
      <c r="AG11" s="784"/>
      <c r="AH11" s="785"/>
      <c r="AK11" s="86" t="s">
        <v>32</v>
      </c>
    </row>
    <row r="12" spans="2:38" ht="10.050000000000001" customHeight="1">
      <c r="B12" s="786" t="str">
        <f>IF(C6="English","Appendix 1  Prohibited substances required by customer list",IF(C6="中文","附件纸 1  顾客 要求 禁用物质一览表","別紙1 顧客要求禁止物質リスト"))</f>
        <v>Appendix 1  Prohibited substances required by customer list</v>
      </c>
      <c r="C12" s="787"/>
      <c r="D12" s="787"/>
      <c r="E12" s="787"/>
      <c r="F12" s="787"/>
      <c r="G12" s="787"/>
      <c r="H12" s="787"/>
      <c r="I12" s="787"/>
      <c r="J12" s="787"/>
      <c r="K12" s="787"/>
      <c r="L12" s="787"/>
      <c r="M12" s="787"/>
      <c r="N12" s="787"/>
      <c r="O12" s="787"/>
      <c r="P12" s="787"/>
      <c r="Q12" s="787"/>
      <c r="R12" s="787"/>
      <c r="S12" s="787"/>
      <c r="T12" s="787"/>
      <c r="U12" s="787"/>
      <c r="V12" s="787"/>
      <c r="W12" s="787"/>
      <c r="X12" s="787"/>
      <c r="Y12" s="787"/>
      <c r="Z12" s="787"/>
      <c r="AA12" s="787"/>
      <c r="AB12" s="787"/>
      <c r="AC12" s="787"/>
      <c r="AD12" s="787"/>
      <c r="AE12" s="787"/>
      <c r="AF12" s="787"/>
      <c r="AG12" s="787"/>
      <c r="AH12" s="787"/>
      <c r="AK12" s="86" t="s">
        <v>31</v>
      </c>
    </row>
    <row r="13" spans="2:38" ht="10.050000000000001" customHeight="1">
      <c r="B13" s="787"/>
      <c r="C13" s="787"/>
      <c r="D13" s="787"/>
      <c r="E13" s="787"/>
      <c r="F13" s="787"/>
      <c r="G13" s="787"/>
      <c r="H13" s="787"/>
      <c r="I13" s="787"/>
      <c r="J13" s="787"/>
      <c r="K13" s="787"/>
      <c r="L13" s="787"/>
      <c r="M13" s="787"/>
      <c r="N13" s="787"/>
      <c r="O13" s="787"/>
      <c r="P13" s="787"/>
      <c r="Q13" s="787"/>
      <c r="R13" s="787"/>
      <c r="S13" s="787"/>
      <c r="T13" s="787"/>
      <c r="U13" s="787"/>
      <c r="V13" s="787"/>
      <c r="W13" s="787"/>
      <c r="X13" s="787"/>
      <c r="Y13" s="787"/>
      <c r="Z13" s="787"/>
      <c r="AA13" s="787"/>
      <c r="AB13" s="787"/>
      <c r="AC13" s="787"/>
      <c r="AD13" s="787"/>
      <c r="AE13" s="787"/>
      <c r="AF13" s="787"/>
      <c r="AG13" s="787"/>
      <c r="AH13" s="787"/>
      <c r="AK13" s="86" t="s">
        <v>33</v>
      </c>
    </row>
    <row r="14" spans="2:38" ht="15" customHeight="1">
      <c r="C14" s="788"/>
      <c r="D14" s="789"/>
      <c r="E14" s="789"/>
      <c r="F14" s="789"/>
      <c r="G14" s="789"/>
      <c r="H14" s="789"/>
      <c r="I14" s="789"/>
      <c r="J14" s="789"/>
      <c r="K14" s="789"/>
      <c r="L14" s="789"/>
      <c r="M14" s="789"/>
      <c r="N14" s="789"/>
      <c r="O14" s="789"/>
      <c r="P14" s="789"/>
      <c r="Q14" s="789"/>
      <c r="R14" s="789"/>
      <c r="S14" s="789"/>
      <c r="T14" s="789"/>
      <c r="U14" s="789"/>
      <c r="V14" s="789"/>
      <c r="W14" s="789"/>
      <c r="X14" s="789"/>
      <c r="Y14" s="789"/>
      <c r="Z14" s="174"/>
      <c r="AA14" s="174"/>
      <c r="AB14" s="87" t="str">
        <f>IF(C6="English","Document No.:",IF(C6="中文","资料 No.:","資料No.:"))</f>
        <v>Document No.:</v>
      </c>
      <c r="AD14" s="88"/>
      <c r="AE14" s="88"/>
      <c r="AF14" s="89"/>
      <c r="AG14" s="88"/>
      <c r="AH14" s="89"/>
    </row>
    <row r="15" spans="2:38">
      <c r="B15" s="798" t="str">
        <f>IF(C6="English","Please enter ○ in the check column in the case of conformity.",IF(C6="中文","符合时请在确认栏填写〇。","＊適合の場合はチェック欄に○を記入ください。"))</f>
        <v>Please enter ○ in the check column in the case of conformity.</v>
      </c>
      <c r="C15" s="799"/>
      <c r="D15" s="799"/>
      <c r="E15" s="799"/>
      <c r="F15" s="799"/>
      <c r="G15" s="799"/>
      <c r="H15" s="799"/>
      <c r="I15" s="799"/>
      <c r="J15" s="799"/>
      <c r="K15" s="799"/>
      <c r="L15" s="799"/>
      <c r="M15" s="799"/>
      <c r="N15" s="799"/>
      <c r="O15" s="799"/>
      <c r="P15" s="799"/>
      <c r="AB15" s="790"/>
      <c r="AC15" s="791"/>
      <c r="AD15" s="791"/>
      <c r="AE15" s="791"/>
      <c r="AF15" s="791"/>
      <c r="AG15" s="791"/>
      <c r="AH15" s="791"/>
    </row>
    <row r="16" spans="2:38" ht="10.050000000000001" customHeight="1">
      <c r="B16" s="800"/>
      <c r="C16" s="800"/>
      <c r="D16" s="800"/>
      <c r="E16" s="800"/>
      <c r="F16" s="800"/>
      <c r="G16" s="800"/>
      <c r="H16" s="800"/>
      <c r="I16" s="800"/>
      <c r="J16" s="800"/>
      <c r="K16" s="800"/>
      <c r="L16" s="800"/>
      <c r="M16" s="800"/>
      <c r="N16" s="800"/>
      <c r="O16" s="800"/>
      <c r="P16" s="800"/>
      <c r="Q16" s="77"/>
      <c r="R16" s="77"/>
      <c r="S16" s="77"/>
      <c r="T16" s="76"/>
      <c r="U16" s="76"/>
      <c r="V16" s="76"/>
      <c r="W16" s="77"/>
      <c r="X16" s="77"/>
      <c r="Y16" s="74"/>
      <c r="Z16" s="74"/>
      <c r="AA16" s="74"/>
      <c r="AB16" s="73"/>
      <c r="AC16" s="76"/>
      <c r="AD16" s="76"/>
      <c r="AE16" s="76"/>
      <c r="AF16" s="76"/>
      <c r="AG16" s="76"/>
      <c r="AH16" s="76"/>
    </row>
    <row r="17" spans="2:38" s="234" customFormat="1" ht="25.05" customHeight="1">
      <c r="B17" s="236" t="s">
        <v>37</v>
      </c>
      <c r="C17" s="771" t="str">
        <f>IF(C6="English","Substance name",IF(C6="中文","物质名称","物質名"))</f>
        <v>Substance name</v>
      </c>
      <c r="D17" s="796"/>
      <c r="E17" s="796"/>
      <c r="F17" s="796"/>
      <c r="G17" s="796"/>
      <c r="H17" s="796"/>
      <c r="I17" s="796"/>
      <c r="J17" s="796"/>
      <c r="K17" s="796"/>
      <c r="L17" s="796"/>
      <c r="M17" s="796"/>
      <c r="N17" s="796"/>
      <c r="O17" s="796"/>
      <c r="P17" s="797"/>
      <c r="Q17" s="795" t="str">
        <f>IF(C6="English","Substance name",IF(C6="中文","限制对象","規制対象"))</f>
        <v>Substance name</v>
      </c>
      <c r="R17" s="795"/>
      <c r="S17" s="795"/>
      <c r="T17" s="750"/>
      <c r="U17" s="750"/>
      <c r="V17" s="750"/>
      <c r="W17" s="750"/>
      <c r="X17" s="749" t="str">
        <f>IF(C6="English","Substance name",IF(C6="中文","限制值
（单位；ppm）","規制値
（単位；ppm）"))</f>
        <v>Substance name</v>
      </c>
      <c r="Y17" s="753"/>
      <c r="Z17" s="753"/>
      <c r="AA17" s="753"/>
      <c r="AB17" s="753"/>
      <c r="AC17" s="753"/>
      <c r="AD17" s="753"/>
      <c r="AE17" s="792" t="str">
        <f>IF(C6="English","Survey Target",IF(C6="中文","调查
对象","調査
対象"))</f>
        <v>Survey Target</v>
      </c>
      <c r="AF17" s="774"/>
      <c r="AG17" s="759" t="str">
        <f>IF(C6="English","Check",IF(C6="中文","检查栏","チェック欄"))</f>
        <v>Check</v>
      </c>
      <c r="AH17" s="780"/>
    </row>
    <row r="18" spans="2:38" s="234" customFormat="1" ht="20.100000000000001" customHeight="1">
      <c r="B18" s="236">
        <v>1</v>
      </c>
      <c r="C18" s="759" t="str">
        <f>IF(C6="English","Natural rubber",IF(C6="中文","天然橡胶","天然ゴム"))</f>
        <v>Natural rubber</v>
      </c>
      <c r="D18" s="760"/>
      <c r="E18" s="760"/>
      <c r="F18" s="760"/>
      <c r="G18" s="760"/>
      <c r="H18" s="760"/>
      <c r="I18" s="760"/>
      <c r="J18" s="760"/>
      <c r="K18" s="760"/>
      <c r="L18" s="760"/>
      <c r="M18" s="760"/>
      <c r="N18" s="760"/>
      <c r="O18" s="760"/>
      <c r="P18" s="760"/>
      <c r="Q18" s="746" t="str">
        <f>IF(C6="English","All uses",IF(C6="中文","所有用途","全ての用途"))</f>
        <v>All uses</v>
      </c>
      <c r="R18" s="746"/>
      <c r="S18" s="746"/>
      <c r="T18" s="747"/>
      <c r="U18" s="747"/>
      <c r="V18" s="747"/>
      <c r="W18" s="747"/>
      <c r="X18" s="749" t="str">
        <f>IF(C6="English","Intentionally added",IF(C6="中文","禁止有意添加","意図的添加禁止"))</f>
        <v>Intentionally added</v>
      </c>
      <c r="Y18" s="753"/>
      <c r="Z18" s="753"/>
      <c r="AA18" s="753"/>
      <c r="AB18" s="753"/>
      <c r="AC18" s="753"/>
      <c r="AD18" s="753"/>
      <c r="AE18" s="399" t="s">
        <v>38</v>
      </c>
      <c r="AF18" s="399"/>
      <c r="AG18" s="754"/>
      <c r="AH18" s="754"/>
    </row>
    <row r="19" spans="2:38" s="234" customFormat="1" ht="20.100000000000001" customHeight="1">
      <c r="B19" s="236">
        <v>2</v>
      </c>
      <c r="C19" s="771" t="str">
        <f>IF(C6="English","Phthalate 14 substances",IF(C6="中文","邻苯二甲酸酯　14物质","フタル酸エステル 14物質"))</f>
        <v>Phthalate 14 substances</v>
      </c>
      <c r="D19" s="772"/>
      <c r="E19" s="772"/>
      <c r="F19" s="772"/>
      <c r="G19" s="772"/>
      <c r="H19" s="772"/>
      <c r="I19" s="772"/>
      <c r="J19" s="772"/>
      <c r="K19" s="772"/>
      <c r="L19" s="772"/>
      <c r="M19" s="772"/>
      <c r="N19" s="772"/>
      <c r="O19" s="772"/>
      <c r="P19" s="773"/>
      <c r="Q19" s="746" t="str">
        <f>IF(C6="English","All uses",IF(C6="中文","所有用途","全ての用途"))</f>
        <v>All uses</v>
      </c>
      <c r="R19" s="746"/>
      <c r="S19" s="746"/>
      <c r="T19" s="747"/>
      <c r="U19" s="747"/>
      <c r="V19" s="747"/>
      <c r="W19" s="747"/>
      <c r="X19" s="749" t="str">
        <f>IF(C6="English","In total; 1,000",IF(C6="中文","总量1,000","合計1,000"))</f>
        <v>In total; 1,000</v>
      </c>
      <c r="Y19" s="753"/>
      <c r="Z19" s="753"/>
      <c r="AA19" s="753"/>
      <c r="AB19" s="753"/>
      <c r="AC19" s="753"/>
      <c r="AD19" s="753"/>
      <c r="AE19" s="399" t="s">
        <v>38</v>
      </c>
      <c r="AF19" s="399"/>
      <c r="AG19" s="754"/>
      <c r="AH19" s="754"/>
    </row>
    <row r="20" spans="2:38" s="234" customFormat="1" ht="48.6" customHeight="1">
      <c r="B20" s="237">
        <v>3</v>
      </c>
      <c r="C20" s="771" t="str">
        <f>IF(C6="English","Bromine（including Brominated flame retardants (BFRs)）",IF(C6="中文","溴素（包括溴系阻燃剂）","臭素（臭素系難燃剤を含む）"))</f>
        <v>Bromine（including Brominated flame retardants (BFRs)）</v>
      </c>
      <c r="D20" s="772"/>
      <c r="E20" s="772"/>
      <c r="F20" s="772"/>
      <c r="G20" s="772"/>
      <c r="H20" s="772"/>
      <c r="I20" s="772"/>
      <c r="J20" s="772"/>
      <c r="K20" s="772"/>
      <c r="L20" s="772"/>
      <c r="M20" s="772"/>
      <c r="N20" s="772"/>
      <c r="O20" s="772"/>
      <c r="P20" s="773"/>
      <c r="Q20" s="746" t="str">
        <f>IF(C6="English","All uses",IF(C6="中文","所有用途","全ての用途"))</f>
        <v>All uses</v>
      </c>
      <c r="R20" s="746"/>
      <c r="S20" s="746"/>
      <c r="T20" s="747"/>
      <c r="U20" s="747"/>
      <c r="V20" s="747"/>
      <c r="W20" s="747"/>
      <c r="X20" s="777" t="str">
        <f>IF(C6="English","Intentionally added 
or
900",IF(C6="中文","禁止有意添加
且
900","意図的添加禁止
且つ
900"))</f>
        <v>Intentionally added 
or
900</v>
      </c>
      <c r="Y20" s="778"/>
      <c r="Z20" s="778"/>
      <c r="AA20" s="779"/>
      <c r="AB20" s="775" t="str">
        <f>IF(C6="English","Br + Cl ;
1,500",IF(C6="中文","溴+氯；
1,500","臭素+塩素；
1,500"))</f>
        <v>Br + Cl ;
1,500</v>
      </c>
      <c r="AC20" s="776"/>
      <c r="AD20" s="776"/>
      <c r="AE20" s="399" t="s">
        <v>38</v>
      </c>
      <c r="AF20" s="399"/>
      <c r="AG20" s="754"/>
      <c r="AH20" s="754"/>
    </row>
    <row r="21" spans="2:38" s="234" customFormat="1" ht="49.2" customHeight="1">
      <c r="B21" s="236">
        <v>4</v>
      </c>
      <c r="C21" s="771" t="str">
        <f>IF(C6="English","Chlorine (including Chlorinated flame retardants(CFRs)）",IF(C6="中文","氯素（包括氯系阻燃剂）","塩素（塩素系難燃剤を含む）"))</f>
        <v>Chlorine (including Chlorinated flame retardants(CFRs)）</v>
      </c>
      <c r="D21" s="772"/>
      <c r="E21" s="772"/>
      <c r="F21" s="772"/>
      <c r="G21" s="772"/>
      <c r="H21" s="772"/>
      <c r="I21" s="772"/>
      <c r="J21" s="772"/>
      <c r="K21" s="772"/>
      <c r="L21" s="772"/>
      <c r="M21" s="772"/>
      <c r="N21" s="772"/>
      <c r="O21" s="772"/>
      <c r="P21" s="773"/>
      <c r="Q21" s="746" t="str">
        <f>IF(C6="English","All uses",IF(C6="中文","所有用途","全ての用途"))</f>
        <v>All uses</v>
      </c>
      <c r="R21" s="746"/>
      <c r="S21" s="746"/>
      <c r="T21" s="747"/>
      <c r="U21" s="747"/>
      <c r="V21" s="747"/>
      <c r="W21" s="747"/>
      <c r="X21" s="777" t="str">
        <f>IF(C6="English","Intentionally added 
or
900",IF(C6="中文","禁止有意添加
且
900","意図的添加禁止
且つ
900"))</f>
        <v>Intentionally added 
or
900</v>
      </c>
      <c r="Y21" s="778"/>
      <c r="Z21" s="778"/>
      <c r="AA21" s="779"/>
      <c r="AB21" s="776"/>
      <c r="AC21" s="776"/>
      <c r="AD21" s="776"/>
      <c r="AE21" s="399" t="s">
        <v>38</v>
      </c>
      <c r="AF21" s="399"/>
      <c r="AG21" s="754"/>
      <c r="AH21" s="754"/>
    </row>
    <row r="22" spans="2:38" s="234" customFormat="1" ht="22.05" customHeight="1">
      <c r="B22" s="236">
        <v>5</v>
      </c>
      <c r="C22" s="759" t="str">
        <f>IF(C6="English","Antimony and its compounds（including Diantimony trioxide）",IF(C6="中文","锑及其化合物（包括三氧化二锑）","アンチモンおよびその化合物（三酸化ニアンチモンを含む）"))</f>
        <v>Antimony and its compounds（including Diantimony trioxide）</v>
      </c>
      <c r="D22" s="760"/>
      <c r="E22" s="760"/>
      <c r="F22" s="760"/>
      <c r="G22" s="760"/>
      <c r="H22" s="760"/>
      <c r="I22" s="760"/>
      <c r="J22" s="760"/>
      <c r="K22" s="760"/>
      <c r="L22" s="760"/>
      <c r="M22" s="760"/>
      <c r="N22" s="760"/>
      <c r="O22" s="760"/>
      <c r="P22" s="760"/>
      <c r="Q22" s="746" t="str">
        <f>IF(C6="English","All uses",IF(C6="中文","所有用途","全ての用途"))</f>
        <v>All uses</v>
      </c>
      <c r="R22" s="746"/>
      <c r="S22" s="746"/>
      <c r="T22" s="747"/>
      <c r="U22" s="747"/>
      <c r="V22" s="747"/>
      <c r="W22" s="747"/>
      <c r="X22" s="748">
        <v>1000</v>
      </c>
      <c r="Y22" s="753"/>
      <c r="Z22" s="753"/>
      <c r="AA22" s="753"/>
      <c r="AB22" s="753"/>
      <c r="AC22" s="753"/>
      <c r="AD22" s="753"/>
      <c r="AE22" s="399" t="s">
        <v>38</v>
      </c>
      <c r="AF22" s="399"/>
      <c r="AG22" s="754"/>
      <c r="AH22" s="754"/>
      <c r="AL22" s="90"/>
    </row>
    <row r="23" spans="2:38" s="234" customFormat="1" ht="20.100000000000001" customHeight="1">
      <c r="B23" s="236">
        <v>6</v>
      </c>
      <c r="C23" s="759" t="str">
        <f>IF(C6="English","TBBP-A　(CAS RN 79-94-7)",IF(C6="中文","TBBP-A　(CAS RN 79-94-7)","TBBP-A　(CAS RN 79-94-7)"))</f>
        <v>TBBP-A　(CAS RN 79-94-7)</v>
      </c>
      <c r="D23" s="760"/>
      <c r="E23" s="760"/>
      <c r="F23" s="760"/>
      <c r="G23" s="760"/>
      <c r="H23" s="760"/>
      <c r="I23" s="760"/>
      <c r="J23" s="760"/>
      <c r="K23" s="760"/>
      <c r="L23" s="760"/>
      <c r="M23" s="760"/>
      <c r="N23" s="760"/>
      <c r="O23" s="760"/>
      <c r="P23" s="760"/>
      <c r="Q23" s="746" t="str">
        <f>IF(C6="English","All uses",IF(C6="中文","所有用途","全ての用途"))</f>
        <v>All uses</v>
      </c>
      <c r="R23" s="746"/>
      <c r="S23" s="746"/>
      <c r="T23" s="747"/>
      <c r="U23" s="747"/>
      <c r="V23" s="747"/>
      <c r="W23" s="747"/>
      <c r="X23" s="748">
        <v>1000</v>
      </c>
      <c r="Y23" s="753"/>
      <c r="Z23" s="753"/>
      <c r="AA23" s="753"/>
      <c r="AB23" s="753"/>
      <c r="AC23" s="753"/>
      <c r="AD23" s="753"/>
      <c r="AE23" s="399" t="s">
        <v>38</v>
      </c>
      <c r="AF23" s="399"/>
      <c r="AG23" s="754"/>
      <c r="AH23" s="754"/>
    </row>
    <row r="24" spans="2:38" s="234" customFormat="1" ht="20.100000000000001" customHeight="1">
      <c r="B24" s="236">
        <v>7</v>
      </c>
      <c r="C24" s="771" t="str">
        <f>IF(C6="English","Beryllium and its compounds",IF(C6="中文","铍及其化合物","ベリリウムおよびその化合物"))</f>
        <v>Beryllium and its compounds</v>
      </c>
      <c r="D24" s="772"/>
      <c r="E24" s="772"/>
      <c r="F24" s="772"/>
      <c r="G24" s="772"/>
      <c r="H24" s="772"/>
      <c r="I24" s="772"/>
      <c r="J24" s="772"/>
      <c r="K24" s="772"/>
      <c r="L24" s="772"/>
      <c r="M24" s="772"/>
      <c r="N24" s="772"/>
      <c r="O24" s="772"/>
      <c r="P24" s="773"/>
      <c r="Q24" s="746" t="str">
        <f>IF(C6="English","All uses",IF(C6="中文","所有用途","全ての用途"))</f>
        <v>All uses</v>
      </c>
      <c r="R24" s="746"/>
      <c r="S24" s="746"/>
      <c r="T24" s="747"/>
      <c r="U24" s="747"/>
      <c r="V24" s="747"/>
      <c r="W24" s="747"/>
      <c r="X24" s="749" t="str">
        <f>IF(C6="English","Intentionally added or 1,000",IF(C6="中文","禁止有意添加且限制值为1,000","意図的添加禁止且つ1,000"))</f>
        <v>Intentionally added or 1,000</v>
      </c>
      <c r="Y24" s="753"/>
      <c r="Z24" s="753"/>
      <c r="AA24" s="753"/>
      <c r="AB24" s="753"/>
      <c r="AC24" s="753"/>
      <c r="AD24" s="753"/>
      <c r="AE24" s="399" t="s">
        <v>38</v>
      </c>
      <c r="AF24" s="399"/>
      <c r="AG24" s="754"/>
      <c r="AH24" s="754"/>
    </row>
    <row r="25" spans="2:38" s="234" customFormat="1" ht="25.05" customHeight="1">
      <c r="B25" s="235">
        <v>8</v>
      </c>
      <c r="C25" s="759" t="str">
        <f>IF(C6="English","PVC；Polyvinyl chloride and its mixtures (Including copolymers) (CAS RN 9002-86-2, and others)",IF(C6="中文","PVC；聚氯乙烯及其混合物(包括共聚物)
(CAS RN 9002-86-2 他)","PVC；ポリ塩化ビニルおよびその混合物(コポリマー含む)
(CAS RN 9002-86-2 他)"))</f>
        <v>PVC；Polyvinyl chloride and its mixtures (Including copolymers) (CAS RN 9002-86-2, and others)</v>
      </c>
      <c r="D25" s="761"/>
      <c r="E25" s="761"/>
      <c r="F25" s="761"/>
      <c r="G25" s="761"/>
      <c r="H25" s="761"/>
      <c r="I25" s="761"/>
      <c r="J25" s="761"/>
      <c r="K25" s="761"/>
      <c r="L25" s="761"/>
      <c r="M25" s="761"/>
      <c r="N25" s="761"/>
      <c r="O25" s="761"/>
      <c r="P25" s="761"/>
      <c r="Q25" s="746" t="str">
        <f>IF(C6="English","All uses",IF(C6="中文","所有用途","全ての用途"))</f>
        <v>All uses</v>
      </c>
      <c r="R25" s="746"/>
      <c r="S25" s="746"/>
      <c r="T25" s="747"/>
      <c r="U25" s="747"/>
      <c r="V25" s="747"/>
      <c r="W25" s="747"/>
      <c r="X25" s="749" t="str">
        <f>IF(C6="English","Intentionally added",IF(C6="中文","禁止有意添加","意図的添加禁止"))</f>
        <v>Intentionally added</v>
      </c>
      <c r="Y25" s="753"/>
      <c r="Z25" s="753"/>
      <c r="AA25" s="753"/>
      <c r="AB25" s="753"/>
      <c r="AC25" s="753"/>
      <c r="AD25" s="753"/>
      <c r="AE25" s="399" t="s">
        <v>38</v>
      </c>
      <c r="AF25" s="399"/>
      <c r="AG25" s="754"/>
      <c r="AH25" s="754"/>
    </row>
    <row r="26" spans="2:38" s="234" customFormat="1" ht="20.100000000000001" customHeight="1">
      <c r="B26" s="236">
        <v>9</v>
      </c>
      <c r="C26" s="771" t="str">
        <f>IF(C6="English","Organotin 9 compounds",IF(C6="中文","有机锡　9化合物","有機スズ  9 化合物"))</f>
        <v>Organotin 9 compounds</v>
      </c>
      <c r="D26" s="772"/>
      <c r="E26" s="772"/>
      <c r="F26" s="772"/>
      <c r="G26" s="772"/>
      <c r="H26" s="772"/>
      <c r="I26" s="772"/>
      <c r="J26" s="772"/>
      <c r="K26" s="772"/>
      <c r="L26" s="772"/>
      <c r="M26" s="772"/>
      <c r="N26" s="772"/>
      <c r="O26" s="772"/>
      <c r="P26" s="773"/>
      <c r="Q26" s="746" t="str">
        <f>IF(C6="English","All uses",IF(C6="中文","所有用途","全ての用途"))</f>
        <v>All uses</v>
      </c>
      <c r="R26" s="746"/>
      <c r="S26" s="746"/>
      <c r="T26" s="747"/>
      <c r="U26" s="747"/>
      <c r="V26" s="747"/>
      <c r="W26" s="747"/>
      <c r="X26" s="749" t="str">
        <f>IF(C6="English","In total; 1,000",IF(C6="中文","总量1,000","合計1,000"))</f>
        <v>In total; 1,000</v>
      </c>
      <c r="Y26" s="753"/>
      <c r="Z26" s="753"/>
      <c r="AA26" s="753"/>
      <c r="AB26" s="753"/>
      <c r="AC26" s="753"/>
      <c r="AD26" s="753"/>
      <c r="AE26" s="399" t="s">
        <v>38</v>
      </c>
      <c r="AF26" s="399"/>
      <c r="AG26" s="754"/>
      <c r="AH26" s="754"/>
    </row>
    <row r="27" spans="2:38" s="234" customFormat="1" ht="40.049999999999997" customHeight="1">
      <c r="B27" s="236">
        <v>10</v>
      </c>
      <c r="C27" s="771" t="str">
        <f>IF(C6="English","Arsenic and its compounds",IF(C6="中文","砷及其化合物","ヒ素およびその化合物"))</f>
        <v>Arsenic and its compounds</v>
      </c>
      <c r="D27" s="772"/>
      <c r="E27" s="772"/>
      <c r="F27" s="772"/>
      <c r="G27" s="772"/>
      <c r="H27" s="772"/>
      <c r="I27" s="772"/>
      <c r="J27" s="772"/>
      <c r="K27" s="772"/>
      <c r="L27" s="772"/>
      <c r="M27" s="772"/>
      <c r="N27" s="772"/>
      <c r="O27" s="772"/>
      <c r="P27" s="773"/>
      <c r="Q27" s="746" t="str">
        <f>IF(C6="English","All uses Exemption; dopant used for manufacturing semiconductor devices",IF(C6="中文","所有用途＜适用豁免＞
为生产半导体器件而掺杂","全ての用途＜適用除外＞
半導体デバイスを製造するためのドーパント"))</f>
        <v>All uses Exemption; dopant used for manufacturing semiconductor devices</v>
      </c>
      <c r="R27" s="746"/>
      <c r="S27" s="746"/>
      <c r="T27" s="747"/>
      <c r="U27" s="747"/>
      <c r="V27" s="747"/>
      <c r="W27" s="747"/>
      <c r="X27" s="749" t="str">
        <f>IF(C6="English","Intentionally added",IF(C6="中文","禁止有意添加","意図的添加禁止"))</f>
        <v>Intentionally added</v>
      </c>
      <c r="Y27" s="753"/>
      <c r="Z27" s="753"/>
      <c r="AA27" s="753"/>
      <c r="AB27" s="753"/>
      <c r="AC27" s="753"/>
      <c r="AD27" s="753"/>
      <c r="AE27" s="399" t="s">
        <v>38</v>
      </c>
      <c r="AF27" s="399"/>
      <c r="AG27" s="754"/>
      <c r="AH27" s="754"/>
    </row>
    <row r="28" spans="2:38" s="234" customFormat="1" ht="15" customHeight="1">
      <c r="B28" s="774">
        <v>11</v>
      </c>
      <c r="C28" s="759" t="str">
        <f>IF(C6="English","Bisphenol A　(CAS RN 80-05-7)　",IF(C6="中文","双酚A　(CAS RN 80-05-7)","ビスフェノールA　(CAS RN 80-05-7)"))</f>
        <v>Bisphenol A　(CAS RN 80-05-7)　</v>
      </c>
      <c r="D28" s="760"/>
      <c r="E28" s="760"/>
      <c r="F28" s="760"/>
      <c r="G28" s="760"/>
      <c r="H28" s="760"/>
      <c r="I28" s="760"/>
      <c r="J28" s="760"/>
      <c r="K28" s="760"/>
      <c r="L28" s="760"/>
      <c r="M28" s="760"/>
      <c r="N28" s="760"/>
      <c r="O28" s="760"/>
      <c r="P28" s="760"/>
      <c r="Q28" s="746" t="str">
        <f>IF(C6="English","Polycarbonate",IF(C6="中文","聚碳酸酯","ポリカーボネート"))</f>
        <v>Polycarbonate</v>
      </c>
      <c r="R28" s="746"/>
      <c r="S28" s="746"/>
      <c r="T28" s="747"/>
      <c r="U28" s="747"/>
      <c r="V28" s="747"/>
      <c r="W28" s="747"/>
      <c r="X28" s="749">
        <v>250</v>
      </c>
      <c r="Y28" s="753"/>
      <c r="Z28" s="753"/>
      <c r="AA28" s="753"/>
      <c r="AB28" s="753"/>
      <c r="AC28" s="753"/>
      <c r="AD28" s="753"/>
      <c r="AE28" s="801" t="s">
        <v>38</v>
      </c>
      <c r="AF28" s="802"/>
      <c r="AG28" s="755"/>
      <c r="AH28" s="756"/>
    </row>
    <row r="29" spans="2:38" s="234" customFormat="1" ht="15" customHeight="1">
      <c r="B29" s="750"/>
      <c r="C29" s="760"/>
      <c r="D29" s="760"/>
      <c r="E29" s="760"/>
      <c r="F29" s="760"/>
      <c r="G29" s="760"/>
      <c r="H29" s="760"/>
      <c r="I29" s="760"/>
      <c r="J29" s="760"/>
      <c r="K29" s="760"/>
      <c r="L29" s="760"/>
      <c r="M29" s="760"/>
      <c r="N29" s="760"/>
      <c r="O29" s="760"/>
      <c r="P29" s="760"/>
      <c r="Q29" s="746" t="str">
        <f>IF(C6="English","Resin except Polycarbonate",IF(C6="中文","聚碳酸酯以外的树脂","ポリカーボネート以外の樹脂"))</f>
        <v>Resin except Polycarbonate</v>
      </c>
      <c r="R29" s="746"/>
      <c r="S29" s="746"/>
      <c r="T29" s="747"/>
      <c r="U29" s="747"/>
      <c r="V29" s="747"/>
      <c r="W29" s="747"/>
      <c r="X29" s="749">
        <v>50</v>
      </c>
      <c r="Y29" s="753"/>
      <c r="Z29" s="753"/>
      <c r="AA29" s="753"/>
      <c r="AB29" s="753"/>
      <c r="AC29" s="753"/>
      <c r="AD29" s="753"/>
      <c r="AE29" s="803"/>
      <c r="AF29" s="804"/>
      <c r="AG29" s="803"/>
      <c r="AH29" s="804"/>
    </row>
    <row r="30" spans="2:38" s="234" customFormat="1" ht="15" customHeight="1">
      <c r="B30" s="750"/>
      <c r="C30" s="760"/>
      <c r="D30" s="760"/>
      <c r="E30" s="760"/>
      <c r="F30" s="760"/>
      <c r="G30" s="760"/>
      <c r="H30" s="760"/>
      <c r="I30" s="760"/>
      <c r="J30" s="760"/>
      <c r="K30" s="760"/>
      <c r="L30" s="760"/>
      <c r="M30" s="760"/>
      <c r="N30" s="760"/>
      <c r="O30" s="760"/>
      <c r="P30" s="760"/>
      <c r="Q30" s="746" t="str">
        <f>IF(C6="English","Other than the above",IF(C6="中文","上述以外","上記以外"))</f>
        <v>Other than the above</v>
      </c>
      <c r="R30" s="746"/>
      <c r="S30" s="746"/>
      <c r="T30" s="747"/>
      <c r="U30" s="747"/>
      <c r="V30" s="747"/>
      <c r="W30" s="747"/>
      <c r="X30" s="749" t="str">
        <f>IF(C6="English","Intentionally added",IF(C6="中文","禁止有意添加","意図的添加禁止"))</f>
        <v>Intentionally added</v>
      </c>
      <c r="Y30" s="753"/>
      <c r="Z30" s="753"/>
      <c r="AA30" s="753"/>
      <c r="AB30" s="753"/>
      <c r="AC30" s="753"/>
      <c r="AD30" s="753"/>
      <c r="AE30" s="757"/>
      <c r="AF30" s="758"/>
      <c r="AG30" s="757"/>
      <c r="AH30" s="758"/>
    </row>
    <row r="31" spans="2:38" s="234" customFormat="1" ht="40.799999999999997" customHeight="1">
      <c r="B31" s="236">
        <v>12</v>
      </c>
      <c r="C31" s="759" t="str">
        <f>IF(C6="English","Medium-chain chlorinated paraffin
（C14-C17）(MCCP)",IF(C6="中文","中链氯化石蜡C14-C17
(MCCP)","中鎖塩素化パラフィン（C14-C17）
(MCCP)"))</f>
        <v>Medium-chain chlorinated paraffin
（C14-C17）(MCCP)</v>
      </c>
      <c r="D31" s="760"/>
      <c r="E31" s="760"/>
      <c r="F31" s="760"/>
      <c r="G31" s="760"/>
      <c r="H31" s="760"/>
      <c r="I31" s="760"/>
      <c r="J31" s="760"/>
      <c r="K31" s="760"/>
      <c r="L31" s="760"/>
      <c r="M31" s="760"/>
      <c r="N31" s="760"/>
      <c r="O31" s="760"/>
      <c r="P31" s="760"/>
      <c r="Q31" s="746" t="str">
        <f>IF(C6="English","All uses",IF(C6="中文","所有用途","全ての用途"))</f>
        <v>All uses</v>
      </c>
      <c r="R31" s="746"/>
      <c r="S31" s="746"/>
      <c r="T31" s="747"/>
      <c r="U31" s="747"/>
      <c r="V31" s="747"/>
      <c r="W31" s="747"/>
      <c r="X31" s="749" t="str">
        <f>IF(C6="English","Intentionally added or 1,000",IF(C6="中文","禁止有意添加
且
1,000","意図的添加禁止
且つ
1,000"))</f>
        <v>Intentionally added or 1,000</v>
      </c>
      <c r="Y31" s="753"/>
      <c r="Z31" s="753"/>
      <c r="AA31" s="753"/>
      <c r="AB31" s="753"/>
      <c r="AC31" s="753"/>
      <c r="AD31" s="753"/>
      <c r="AE31" s="399" t="s">
        <v>38</v>
      </c>
      <c r="AF31" s="399"/>
      <c r="AG31" s="754"/>
      <c r="AH31" s="754"/>
    </row>
    <row r="32" spans="2:38" s="243" customFormat="1" ht="20.100000000000001" customHeight="1">
      <c r="B32" s="244">
        <v>13</v>
      </c>
      <c r="C32" s="759" t="str">
        <f>IF(C6="English","Chlorinated Paraffin（long-chain）",IF(C6="中文","氯化石蜡（长链）","塩素化パラフィン（長鎖）"))</f>
        <v>Chlorinated Paraffin（long-chain）</v>
      </c>
      <c r="D32" s="760"/>
      <c r="E32" s="760"/>
      <c r="F32" s="760"/>
      <c r="G32" s="760"/>
      <c r="H32" s="760"/>
      <c r="I32" s="760"/>
      <c r="J32" s="760"/>
      <c r="K32" s="760"/>
      <c r="L32" s="760"/>
      <c r="M32" s="760"/>
      <c r="N32" s="760"/>
      <c r="O32" s="760"/>
      <c r="P32" s="760"/>
      <c r="Q32" s="746" t="str">
        <f>IF(C6="English","All uses",IF(C6="中文","所有用途","全ての用途"))</f>
        <v>All uses</v>
      </c>
      <c r="R32" s="746"/>
      <c r="S32" s="746"/>
      <c r="T32" s="747"/>
      <c r="U32" s="747"/>
      <c r="V32" s="747"/>
      <c r="W32" s="747"/>
      <c r="X32" s="748">
        <v>1000</v>
      </c>
      <c r="Y32" s="753"/>
      <c r="Z32" s="753"/>
      <c r="AA32" s="753"/>
      <c r="AB32" s="753"/>
      <c r="AC32" s="753"/>
      <c r="AD32" s="753"/>
      <c r="AE32" s="399" t="s">
        <v>38</v>
      </c>
      <c r="AF32" s="399"/>
      <c r="AG32" s="754"/>
      <c r="AH32" s="754"/>
    </row>
    <row r="33" spans="2:34" s="234" customFormat="1" ht="20.100000000000001" customHeight="1">
      <c r="B33" s="236">
        <v>14</v>
      </c>
      <c r="C33" s="759" t="str">
        <f>IF(C6="English","Trichlorobenzene(CAS RN 120-82-1，87-61-6，108-70-3)",IF(C6="中文","三氯苯(CAS RN. 120-82-1，87-61-6，108-70-3)","トリクロロベンゼン(CAS  RN 120-82-1，87-61-6，108-70-3)"))</f>
        <v>Trichlorobenzene(CAS RN 120-82-1，87-61-6，108-70-3)</v>
      </c>
      <c r="D33" s="760"/>
      <c r="E33" s="760"/>
      <c r="F33" s="760"/>
      <c r="G33" s="760"/>
      <c r="H33" s="760"/>
      <c r="I33" s="760"/>
      <c r="J33" s="760"/>
      <c r="K33" s="760"/>
      <c r="L33" s="760"/>
      <c r="M33" s="760"/>
      <c r="N33" s="760"/>
      <c r="O33" s="760"/>
      <c r="P33" s="760"/>
      <c r="Q33" s="746" t="str">
        <f>IF(C6="English","All uses",IF(C6="中文","所有用途","全ての用途"))</f>
        <v>All uses</v>
      </c>
      <c r="R33" s="746"/>
      <c r="S33" s="746"/>
      <c r="T33" s="747"/>
      <c r="U33" s="747"/>
      <c r="V33" s="747"/>
      <c r="W33" s="747"/>
      <c r="X33" s="748">
        <v>1000</v>
      </c>
      <c r="Y33" s="753"/>
      <c r="Z33" s="753"/>
      <c r="AA33" s="753"/>
      <c r="AB33" s="753"/>
      <c r="AC33" s="753"/>
      <c r="AD33" s="753"/>
      <c r="AE33" s="399" t="s">
        <v>38</v>
      </c>
      <c r="AF33" s="399"/>
      <c r="AG33" s="754"/>
      <c r="AH33" s="754"/>
    </row>
    <row r="34" spans="2:34" s="234" customFormat="1" ht="20.100000000000001" customHeight="1">
      <c r="B34" s="236">
        <v>15</v>
      </c>
      <c r="C34" s="759" t="str">
        <f>IF(C6="English","Cyclohexane　(CAS  RN 110-82-7)",IF(C6="中文","环己烷　(CAS  RN 110-82-7)","シクロヘキサン　(CAS  RN 110-82-7)"))</f>
        <v>Cyclohexane　(CAS  RN 110-82-7)</v>
      </c>
      <c r="D34" s="760"/>
      <c r="E34" s="760"/>
      <c r="F34" s="760"/>
      <c r="G34" s="760"/>
      <c r="H34" s="760"/>
      <c r="I34" s="760"/>
      <c r="J34" s="760"/>
      <c r="K34" s="760"/>
      <c r="L34" s="760"/>
      <c r="M34" s="760"/>
      <c r="N34" s="760"/>
      <c r="O34" s="760"/>
      <c r="P34" s="760"/>
      <c r="Q34" s="746" t="str">
        <f>IF(C6="English","Only use of adhesive",IF(C6="中文","所有用途","接着剤用途のみ適用"))</f>
        <v>Only use of adhesive</v>
      </c>
      <c r="R34" s="746"/>
      <c r="S34" s="746"/>
      <c r="T34" s="747"/>
      <c r="U34" s="747"/>
      <c r="V34" s="747"/>
      <c r="W34" s="747"/>
      <c r="X34" s="748">
        <v>1000</v>
      </c>
      <c r="Y34" s="753"/>
      <c r="Z34" s="753"/>
      <c r="AA34" s="753"/>
      <c r="AB34" s="753"/>
      <c r="AC34" s="753"/>
      <c r="AD34" s="753"/>
      <c r="AE34" s="399" t="s">
        <v>38</v>
      </c>
      <c r="AF34" s="399"/>
      <c r="AG34" s="754"/>
      <c r="AH34" s="754"/>
    </row>
    <row r="35" spans="2:34" s="234" customFormat="1" ht="25.05" customHeight="1">
      <c r="B35" s="235">
        <v>16</v>
      </c>
      <c r="C35" s="759" t="str">
        <f>IF(C6="English","Low molecular siloxane, and silicone rubber, silicone resin, silicone grease, silicone oil containing Low molecular siloxane",IF(C6="中文","低分子硅氧烷及含有硅氧烷的硅橡胶、硅树脂、硅脂、硅油","低分子シロキサンおよびそれを含有しているシリコーンゴム、シリコーン樹脂、シリコーングリース、シリコーンオイル"))</f>
        <v>Low molecular siloxane, and silicone rubber, silicone resin, silicone grease, silicone oil containing Low molecular siloxane</v>
      </c>
      <c r="D35" s="761"/>
      <c r="E35" s="761"/>
      <c r="F35" s="761"/>
      <c r="G35" s="761"/>
      <c r="H35" s="761"/>
      <c r="I35" s="761"/>
      <c r="J35" s="761"/>
      <c r="K35" s="761"/>
      <c r="L35" s="761"/>
      <c r="M35" s="761"/>
      <c r="N35" s="761"/>
      <c r="O35" s="761"/>
      <c r="P35" s="761"/>
      <c r="Q35" s="746" t="str">
        <f>IF(C6="English","All uses",IF(C6="中文","仅适用于胶合剂用途","全ての用途"))</f>
        <v>All uses</v>
      </c>
      <c r="R35" s="746"/>
      <c r="S35" s="746"/>
      <c r="T35" s="747"/>
      <c r="U35" s="747"/>
      <c r="V35" s="747"/>
      <c r="W35" s="747"/>
      <c r="X35" s="749" t="str">
        <f>IF(C6="English","Intentionally added",IF(C6="中文","禁止有意添加","意図的添加禁止"))</f>
        <v>Intentionally added</v>
      </c>
      <c r="Y35" s="753"/>
      <c r="Z35" s="753"/>
      <c r="AA35" s="753"/>
      <c r="AB35" s="753"/>
      <c r="AC35" s="753"/>
      <c r="AD35" s="753"/>
      <c r="AE35" s="399" t="s">
        <v>38</v>
      </c>
      <c r="AF35" s="399"/>
      <c r="AG35" s="754"/>
      <c r="AH35" s="754"/>
    </row>
    <row r="36" spans="2:34" s="234" customFormat="1" ht="20.100000000000001" customHeight="1">
      <c r="B36" s="236">
        <v>17</v>
      </c>
      <c r="C36" s="751" t="str">
        <f>IF(C6="English","Sulfer",IF(C6="中文","硫","硫黄"))</f>
        <v>Sulfer</v>
      </c>
      <c r="D36" s="761"/>
      <c r="E36" s="761"/>
      <c r="F36" s="761"/>
      <c r="G36" s="761"/>
      <c r="H36" s="761"/>
      <c r="I36" s="761"/>
      <c r="J36" s="761"/>
      <c r="K36" s="761"/>
      <c r="L36" s="761"/>
      <c r="M36" s="761"/>
      <c r="N36" s="761"/>
      <c r="O36" s="761"/>
      <c r="P36" s="761"/>
      <c r="Q36" s="746" t="str">
        <f>IF(C6="English","All uses",IF(C6="中文","所有用途","全ての用途"))</f>
        <v>All uses</v>
      </c>
      <c r="R36" s="746"/>
      <c r="S36" s="746"/>
      <c r="T36" s="747"/>
      <c r="U36" s="747"/>
      <c r="V36" s="747"/>
      <c r="W36" s="747"/>
      <c r="X36" s="749" t="str">
        <f>IF(C6="English","Intentionally added",IF(C6="中文","禁止有意添加","意図的添加禁止"))</f>
        <v>Intentionally added</v>
      </c>
      <c r="Y36" s="753"/>
      <c r="Z36" s="753"/>
      <c r="AA36" s="753"/>
      <c r="AB36" s="753"/>
      <c r="AC36" s="753"/>
      <c r="AD36" s="753"/>
      <c r="AE36" s="399" t="s">
        <v>38</v>
      </c>
      <c r="AF36" s="399"/>
      <c r="AG36" s="754"/>
      <c r="AH36" s="754"/>
    </row>
    <row r="37" spans="2:34" s="234" customFormat="1" ht="20.100000000000001" customHeight="1">
      <c r="B37" s="236">
        <v>18</v>
      </c>
      <c r="C37" s="759" t="str">
        <f>IF(C6="English","Red phosphorus 　(CAS  RN 7723-14-0) ",IF(C6="中文","红磷 　(CAS  RN 7723-14-0)","赤リン　(CAS  RN 7723-14-0)"))</f>
        <v xml:space="preserve">Red phosphorus 　(CAS  RN 7723-14-0) </v>
      </c>
      <c r="D37" s="760"/>
      <c r="E37" s="760"/>
      <c r="F37" s="760"/>
      <c r="G37" s="760"/>
      <c r="H37" s="760"/>
      <c r="I37" s="760"/>
      <c r="J37" s="760"/>
      <c r="K37" s="760"/>
      <c r="L37" s="760"/>
      <c r="M37" s="760"/>
      <c r="N37" s="760"/>
      <c r="O37" s="760"/>
      <c r="P37" s="760"/>
      <c r="Q37" s="746" t="str">
        <f>IF(C6="English","Flame retardant for resin",IF(C6="中文","树脂阻燃剂","樹脂の難燃剤"))</f>
        <v>Flame retardant for resin</v>
      </c>
      <c r="R37" s="746"/>
      <c r="S37" s="746"/>
      <c r="T37" s="747"/>
      <c r="U37" s="747"/>
      <c r="V37" s="747"/>
      <c r="W37" s="747"/>
      <c r="X37" s="749" t="str">
        <f>IF(C6="English","Intentionally added",IF(C6="中文","禁止有意添加","意図的添加禁止"))</f>
        <v>Intentionally added</v>
      </c>
      <c r="Y37" s="753"/>
      <c r="Z37" s="753"/>
      <c r="AA37" s="753"/>
      <c r="AB37" s="753"/>
      <c r="AC37" s="753"/>
      <c r="AD37" s="753"/>
      <c r="AE37" s="399" t="s">
        <v>38</v>
      </c>
      <c r="AF37" s="399"/>
      <c r="AG37" s="754"/>
      <c r="AH37" s="754"/>
    </row>
    <row r="38" spans="2:34" s="234" customFormat="1" ht="20.100000000000001" customHeight="1">
      <c r="B38" s="236">
        <v>19</v>
      </c>
      <c r="C38" s="751" t="str">
        <f>IF(C6="English","Nonylphenol and nonylphenol ethoxylate",IF(C6="中文","壬基酚以及壬基酚乙氧基化物","ノニルフェノールおよびノニルフェノールエトキシレート"))</f>
        <v>Nonylphenol and nonylphenol ethoxylate</v>
      </c>
      <c r="D38" s="761"/>
      <c r="E38" s="761"/>
      <c r="F38" s="761"/>
      <c r="G38" s="761"/>
      <c r="H38" s="761"/>
      <c r="I38" s="761"/>
      <c r="J38" s="761"/>
      <c r="K38" s="761"/>
      <c r="L38" s="761"/>
      <c r="M38" s="761"/>
      <c r="N38" s="761"/>
      <c r="O38" s="761"/>
      <c r="P38" s="761"/>
      <c r="Q38" s="746" t="str">
        <f>IF(C6="English","All uses",IF(C6="中文","所有用途","全ての用途"))</f>
        <v>All uses</v>
      </c>
      <c r="R38" s="746"/>
      <c r="S38" s="746"/>
      <c r="T38" s="747"/>
      <c r="U38" s="747"/>
      <c r="V38" s="747"/>
      <c r="W38" s="747"/>
      <c r="X38" s="749" t="str">
        <f>IF(C6="English","Intentionally added",IF(C6="中文","禁止有意添加","意図的添加禁止"))</f>
        <v>Intentionally added</v>
      </c>
      <c r="Y38" s="753"/>
      <c r="Z38" s="753"/>
      <c r="AA38" s="753"/>
      <c r="AB38" s="753"/>
      <c r="AC38" s="753"/>
      <c r="AD38" s="753"/>
      <c r="AE38" s="399" t="s">
        <v>38</v>
      </c>
      <c r="AF38" s="399"/>
      <c r="AG38" s="754"/>
      <c r="AH38" s="754"/>
    </row>
    <row r="39" spans="2:34" s="234" customFormat="1" ht="15" customHeight="1">
      <c r="B39" s="744">
        <v>20</v>
      </c>
      <c r="C39" s="765" t="str">
        <f>IF(C6="English","The derivatives of PFOS",IF(C6="中文","PFOS的衍生物质","PFOSの派生物質"))</f>
        <v>The derivatives of PFOS</v>
      </c>
      <c r="D39" s="766"/>
      <c r="E39" s="766"/>
      <c r="F39" s="766"/>
      <c r="G39" s="766"/>
      <c r="H39" s="766"/>
      <c r="I39" s="766"/>
      <c r="J39" s="766"/>
      <c r="K39" s="766"/>
      <c r="L39" s="766"/>
      <c r="M39" s="766"/>
      <c r="N39" s="766"/>
      <c r="O39" s="766"/>
      <c r="P39" s="767"/>
      <c r="Q39" s="746" t="str">
        <f>IF(C6="English","Substance and Mixture",IF(C6="中文","物质和混合物","物質および混合物"))</f>
        <v>Substance and Mixture</v>
      </c>
      <c r="R39" s="746"/>
      <c r="S39" s="746"/>
      <c r="T39" s="747"/>
      <c r="U39" s="747"/>
      <c r="V39" s="747"/>
      <c r="W39" s="747"/>
      <c r="X39" s="749">
        <v>10</v>
      </c>
      <c r="Y39" s="753"/>
      <c r="Z39" s="753"/>
      <c r="AA39" s="753"/>
      <c r="AB39" s="753"/>
      <c r="AC39" s="753"/>
      <c r="AD39" s="753"/>
      <c r="AE39" s="399" t="s">
        <v>38</v>
      </c>
      <c r="AF39" s="399"/>
      <c r="AG39" s="755"/>
      <c r="AH39" s="756"/>
    </row>
    <row r="40" spans="2:34" s="234" customFormat="1" ht="15" customHeight="1">
      <c r="B40" s="745"/>
      <c r="C40" s="768"/>
      <c r="D40" s="769"/>
      <c r="E40" s="769"/>
      <c r="F40" s="769"/>
      <c r="G40" s="769"/>
      <c r="H40" s="769"/>
      <c r="I40" s="769"/>
      <c r="J40" s="769"/>
      <c r="K40" s="769"/>
      <c r="L40" s="769"/>
      <c r="M40" s="769"/>
      <c r="N40" s="769"/>
      <c r="O40" s="769"/>
      <c r="P40" s="770"/>
      <c r="Q40" s="746" t="str">
        <f>IF(C6="English","Article",IF(C6="中文","成形品","成形品"))</f>
        <v>Article</v>
      </c>
      <c r="R40" s="746"/>
      <c r="S40" s="746"/>
      <c r="T40" s="747"/>
      <c r="U40" s="747"/>
      <c r="V40" s="747"/>
      <c r="W40" s="747"/>
      <c r="X40" s="748">
        <v>1000</v>
      </c>
      <c r="Y40" s="749"/>
      <c r="Z40" s="749"/>
      <c r="AA40" s="750"/>
      <c r="AB40" s="750"/>
      <c r="AC40" s="750"/>
      <c r="AD40" s="750"/>
      <c r="AE40" s="399" t="s">
        <v>38</v>
      </c>
      <c r="AF40" s="399"/>
      <c r="AG40" s="757"/>
      <c r="AH40" s="758"/>
    </row>
    <row r="41" spans="2:34" s="234" customFormat="1" ht="20.100000000000001" customHeight="1">
      <c r="B41" s="127">
        <v>21</v>
      </c>
      <c r="C41" s="759" t="str">
        <f>IF(C6="English","n-Hexane  (CAS RN 110-54-3)",IF(C6="中文","正己烷  (CAS RN 110-54-3)","n-ヘキサン  (CAS RN 110-54-3)"))</f>
        <v>n-Hexane  (CAS RN 110-54-3)</v>
      </c>
      <c r="D41" s="747"/>
      <c r="E41" s="747"/>
      <c r="F41" s="747"/>
      <c r="G41" s="747"/>
      <c r="H41" s="747"/>
      <c r="I41" s="747"/>
      <c r="J41" s="747"/>
      <c r="K41" s="747"/>
      <c r="L41" s="747"/>
      <c r="M41" s="747"/>
      <c r="N41" s="747"/>
      <c r="O41" s="747"/>
      <c r="P41" s="747"/>
      <c r="Q41" s="746" t="str">
        <f>IF(C6="English","All uses",IF(C6="中文","所有用途","全ての用途"))</f>
        <v>All uses</v>
      </c>
      <c r="R41" s="746"/>
      <c r="S41" s="746"/>
      <c r="T41" s="747"/>
      <c r="U41" s="747"/>
      <c r="V41" s="747"/>
      <c r="W41" s="747"/>
      <c r="X41" s="748">
        <v>1000</v>
      </c>
      <c r="Y41" s="753"/>
      <c r="Z41" s="753"/>
      <c r="AA41" s="753"/>
      <c r="AB41" s="753"/>
      <c r="AC41" s="753"/>
      <c r="AD41" s="753"/>
      <c r="AE41" s="399" t="s">
        <v>38</v>
      </c>
      <c r="AF41" s="399"/>
      <c r="AG41" s="754" t="s">
        <v>38</v>
      </c>
      <c r="AH41" s="754"/>
    </row>
    <row r="42" spans="2:34" s="234" customFormat="1" ht="30" customHeight="1">
      <c r="B42" s="127">
        <v>22</v>
      </c>
      <c r="C42" s="762" t="str">
        <f>IF(C6="English","Long-chain Perfluorocarboxylic acids (PFCA) C9-C21 and their salts and  (PFCA) C9-C21-related substances",IF(C6="中文","长链(C9-C21)全氟羧酸(PFCAS)及其盐及相关物质","長鎖（C9-C21）パーフルオロカルボン酸（PFCAs）と
その塩および関連物質"))</f>
        <v>Long-chain Perfluorocarboxylic acids (PFCA) C9-C21 and their salts and  (PFCA) C9-C21-related substances</v>
      </c>
      <c r="D42" s="763"/>
      <c r="E42" s="763"/>
      <c r="F42" s="763"/>
      <c r="G42" s="763"/>
      <c r="H42" s="763"/>
      <c r="I42" s="763"/>
      <c r="J42" s="763"/>
      <c r="K42" s="763"/>
      <c r="L42" s="763"/>
      <c r="M42" s="763"/>
      <c r="N42" s="763"/>
      <c r="O42" s="763"/>
      <c r="P42" s="763"/>
      <c r="Q42" s="746" t="str">
        <f>IF(C6="English","All uses",IF(C6="中文","所有用途","全ての用途"))</f>
        <v>All uses</v>
      </c>
      <c r="R42" s="746"/>
      <c r="S42" s="746"/>
      <c r="T42" s="747"/>
      <c r="U42" s="747"/>
      <c r="V42" s="747"/>
      <c r="W42" s="747"/>
      <c r="X42" s="749" t="str">
        <f>IF(C6="English","Intentionally added",IF(C6="中文","禁止有意添加","意図的添加禁止"))</f>
        <v>Intentionally added</v>
      </c>
      <c r="Y42" s="753"/>
      <c r="Z42" s="753"/>
      <c r="AA42" s="753"/>
      <c r="AB42" s="753"/>
      <c r="AC42" s="753"/>
      <c r="AD42" s="753"/>
      <c r="AE42" s="399" t="s">
        <v>38</v>
      </c>
      <c r="AF42" s="399"/>
      <c r="AG42" s="754"/>
      <c r="AH42" s="754"/>
    </row>
    <row r="43" spans="2:34" s="234" customFormat="1" ht="30" customHeight="1">
      <c r="B43" s="127">
        <v>23</v>
      </c>
      <c r="C43" s="759" t="str">
        <f>IF(C6="English","PAHs 27substances",IF(C6="中文","PAHs 27物质","PAHs 27物質"))</f>
        <v>PAHs 27substances</v>
      </c>
      <c r="D43" s="747"/>
      <c r="E43" s="747"/>
      <c r="F43" s="747"/>
      <c r="G43" s="747"/>
      <c r="H43" s="747"/>
      <c r="I43" s="747"/>
      <c r="J43" s="747"/>
      <c r="K43" s="747"/>
      <c r="L43" s="747"/>
      <c r="M43" s="747"/>
      <c r="N43" s="747"/>
      <c r="O43" s="747"/>
      <c r="P43" s="747"/>
      <c r="Q43" s="746" t="str">
        <f>IF(C6="English","Inks, External materials",IF(C6="中文","油墨和外壳部件","インクおよび外殻部品"))</f>
        <v>Inks, External materials</v>
      </c>
      <c r="R43" s="746"/>
      <c r="S43" s="746"/>
      <c r="T43" s="747"/>
      <c r="U43" s="747"/>
      <c r="V43" s="747"/>
      <c r="W43" s="747"/>
      <c r="X43" s="749" t="str">
        <f>IF(C6="English","0.5 ppm individually and 10 ppm for sum of total",IF(C6="中文","各0.5且合计10
","各0.5且つ合計10"))</f>
        <v>0.5 ppm individually and 10 ppm for sum of total</v>
      </c>
      <c r="Y43" s="753"/>
      <c r="Z43" s="753"/>
      <c r="AA43" s="753"/>
      <c r="AB43" s="753"/>
      <c r="AC43" s="753"/>
      <c r="AD43" s="753"/>
      <c r="AE43" s="399" t="s">
        <v>38</v>
      </c>
      <c r="AF43" s="399"/>
      <c r="AG43" s="754" t="s">
        <v>38</v>
      </c>
      <c r="AH43" s="754"/>
    </row>
    <row r="44" spans="2:34" s="234" customFormat="1" ht="20.100000000000001" customHeight="1">
      <c r="B44" s="127">
        <v>24</v>
      </c>
      <c r="C44" s="751" t="str">
        <f>IF(C6="English","Decabromodiphenylethane（DBDPE）(CAS RN 84852-53-9)",IF(C6="中文","十溴二苯乙烷（DBDPE）(CAS RN 84852-53-9)","デカブロモジフェニルエタン（DBDPE）(CAS RN 84852-53-9)"))</f>
        <v>Decabromodiphenylethane（DBDPE）(CAS RN 84852-53-9)</v>
      </c>
      <c r="D44" s="752"/>
      <c r="E44" s="752"/>
      <c r="F44" s="752"/>
      <c r="G44" s="752"/>
      <c r="H44" s="752"/>
      <c r="I44" s="752"/>
      <c r="J44" s="752"/>
      <c r="K44" s="752"/>
      <c r="L44" s="752"/>
      <c r="M44" s="752"/>
      <c r="N44" s="752"/>
      <c r="O44" s="752"/>
      <c r="P44" s="752"/>
      <c r="Q44" s="746" t="str">
        <f>IF(C6="English","All uses",IF(C6="中文","所有用途","全ての用途"))</f>
        <v>All uses</v>
      </c>
      <c r="R44" s="746"/>
      <c r="S44" s="746"/>
      <c r="T44" s="747"/>
      <c r="U44" s="747"/>
      <c r="V44" s="747"/>
      <c r="W44" s="747"/>
      <c r="X44" s="749" t="str">
        <f>IF(C6="English","Intentionally added",IF(C6="中文","禁止有意添加","意図的添加禁止"))</f>
        <v>Intentionally added</v>
      </c>
      <c r="Y44" s="753"/>
      <c r="Z44" s="753"/>
      <c r="AA44" s="753"/>
      <c r="AB44" s="753"/>
      <c r="AC44" s="753"/>
      <c r="AD44" s="753"/>
      <c r="AE44" s="399" t="s">
        <v>38</v>
      </c>
      <c r="AF44" s="399"/>
      <c r="AG44" s="754"/>
      <c r="AH44" s="754"/>
    </row>
    <row r="45" spans="2:34" s="234" customFormat="1" ht="20.100000000000001" customHeight="1">
      <c r="B45" s="127">
        <v>25</v>
      </c>
      <c r="C45" s="762" t="str">
        <f>IF(C6="English","Polychlorinated Biphenyls (PCBs)",IF(C6="中文","多氯联苯类（PCB类）","ポリ塩化ビフェニル類(PCB類)"))</f>
        <v>Polychlorinated Biphenyls (PCBs)</v>
      </c>
      <c r="D45" s="764"/>
      <c r="E45" s="764"/>
      <c r="F45" s="764"/>
      <c r="G45" s="764"/>
      <c r="H45" s="764"/>
      <c r="I45" s="764"/>
      <c r="J45" s="764"/>
      <c r="K45" s="764"/>
      <c r="L45" s="764"/>
      <c r="M45" s="764"/>
      <c r="N45" s="764"/>
      <c r="O45" s="764"/>
      <c r="P45" s="764"/>
      <c r="Q45" s="746" t="str">
        <f>IF(C6="English","All uses",IF(C6="中文","所有用途","全ての用途"))</f>
        <v>All uses</v>
      </c>
      <c r="R45" s="746"/>
      <c r="S45" s="746"/>
      <c r="T45" s="747"/>
      <c r="U45" s="747"/>
      <c r="V45" s="747"/>
      <c r="W45" s="747"/>
      <c r="X45" s="749">
        <v>0.5</v>
      </c>
      <c r="Y45" s="753"/>
      <c r="Z45" s="753"/>
      <c r="AA45" s="753"/>
      <c r="AB45" s="753"/>
      <c r="AC45" s="753"/>
      <c r="AD45" s="753"/>
      <c r="AE45" s="399" t="s">
        <v>38</v>
      </c>
      <c r="AF45" s="399"/>
      <c r="AG45" s="754"/>
      <c r="AH45" s="754"/>
    </row>
    <row r="46" spans="2:34" s="243" customFormat="1" ht="23.1" customHeight="1">
      <c r="B46" s="127">
        <v>26</v>
      </c>
      <c r="C46" s="762" t="str">
        <f>IF(C6="English","Perfluorobutane sulfonic acid (PFBS) and related substances",IF(C6="中文","全氟丁烷磺酸(PFBS) 和相关物质","パーフルオロブタンスルホン酸（PFBS）
および関連物質"))</f>
        <v>Perfluorobutane sulfonic acid (PFBS) and related substances</v>
      </c>
      <c r="D46" s="764"/>
      <c r="E46" s="764"/>
      <c r="F46" s="764"/>
      <c r="G46" s="764"/>
      <c r="H46" s="764"/>
      <c r="I46" s="764"/>
      <c r="J46" s="764"/>
      <c r="K46" s="764"/>
      <c r="L46" s="764"/>
      <c r="M46" s="764"/>
      <c r="N46" s="764"/>
      <c r="O46" s="764"/>
      <c r="P46" s="764"/>
      <c r="Q46" s="746" t="str">
        <f>IF(C6="English","All uses",IF(C6="中文","所有用途","全ての用途"))</f>
        <v>All uses</v>
      </c>
      <c r="R46" s="746"/>
      <c r="S46" s="746"/>
      <c r="T46" s="747"/>
      <c r="U46" s="747"/>
      <c r="V46" s="747"/>
      <c r="W46" s="747"/>
      <c r="X46" s="749" t="str">
        <f>IF(C6="English","In total; 1,000",IF(C6="中文","总量1,000","合計1,000"))</f>
        <v>In total; 1,000</v>
      </c>
      <c r="Y46" s="753"/>
      <c r="Z46" s="753"/>
      <c r="AA46" s="753"/>
      <c r="AB46" s="753"/>
      <c r="AC46" s="753"/>
      <c r="AD46" s="753"/>
      <c r="AE46" s="399" t="s">
        <v>38</v>
      </c>
      <c r="AF46" s="399"/>
      <c r="AG46" s="754" t="s">
        <v>38</v>
      </c>
      <c r="AH46" s="754"/>
    </row>
    <row r="47" spans="2:34" s="243" customFormat="1" ht="52.2" customHeight="1">
      <c r="B47" s="127">
        <v>27</v>
      </c>
      <c r="C47" s="762" t="str">
        <f>IF(C6="English","Perfluorohexanoic acid (PFHxA), its salts and PFHxA-related substances",IF(C6="中文","全氟己酸 (PFHxA) 及其盐类和相关物质","パーフルオロヘキサン酸（PFHxA）とその塩および関連物質"))</f>
        <v>Perfluorohexanoic acid (PFHxA), its salts and PFHxA-related substances</v>
      </c>
      <c r="D47" s="764"/>
      <c r="E47" s="764"/>
      <c r="F47" s="764"/>
      <c r="G47" s="764"/>
      <c r="H47" s="764"/>
      <c r="I47" s="764"/>
      <c r="J47" s="764"/>
      <c r="K47" s="764"/>
      <c r="L47" s="764"/>
      <c r="M47" s="764"/>
      <c r="N47" s="764"/>
      <c r="O47" s="764"/>
      <c r="P47" s="764"/>
      <c r="Q47" s="746" t="str">
        <f>IF(C6="English","All uses",IF(C6="中文","所有用途","全ての用途"))</f>
        <v>All uses</v>
      </c>
      <c r="R47" s="746"/>
      <c r="S47" s="746"/>
      <c r="T47" s="747"/>
      <c r="U47" s="747"/>
      <c r="V47" s="747"/>
      <c r="W47" s="747"/>
      <c r="X47" s="749" t="str">
        <f>IF(C6="English","In total; 1,000",IF(C6="中文","PFHxA及其盐
合计：25ppb
PFHxA关连物质
合计：1000ppb","PFHxAとその塩の合計：25 ppb
PFHxA関連物質の合計：
1,000ppb"))</f>
        <v>In total; 1,000</v>
      </c>
      <c r="Y47" s="753"/>
      <c r="Z47" s="753"/>
      <c r="AA47" s="753"/>
      <c r="AB47" s="753"/>
      <c r="AC47" s="753"/>
      <c r="AD47" s="753"/>
      <c r="AE47" s="399" t="s">
        <v>38</v>
      </c>
      <c r="AF47" s="399"/>
      <c r="AG47" s="754" t="s">
        <v>38</v>
      </c>
      <c r="AH47" s="754"/>
    </row>
    <row r="48" spans="2:34" s="243" customFormat="1" ht="25.8" customHeight="1">
      <c r="B48" s="127">
        <v>28</v>
      </c>
      <c r="C48" s="762" t="str">
        <f>IF(C6="English","Toluene
(CAS RN 108-88-3)",IF(C6="中文","甲苯
(CAS RN 108-88-3)","トルエン
(CAS RN 108-88-3)"))</f>
        <v>Toluene
(CAS RN 108-88-3)</v>
      </c>
      <c r="D48" s="764"/>
      <c r="E48" s="764"/>
      <c r="F48" s="764"/>
      <c r="G48" s="764"/>
      <c r="H48" s="764"/>
      <c r="I48" s="764"/>
      <c r="J48" s="764"/>
      <c r="K48" s="764"/>
      <c r="L48" s="764"/>
      <c r="M48" s="764"/>
      <c r="N48" s="764"/>
      <c r="O48" s="764"/>
      <c r="P48" s="764"/>
      <c r="Q48" s="746" t="str">
        <f>IF(C6="English","All uses",IF(C6="中文","所有用途","全ての用途"))</f>
        <v>All uses</v>
      </c>
      <c r="R48" s="746"/>
      <c r="S48" s="746"/>
      <c r="T48" s="747"/>
      <c r="U48" s="747"/>
      <c r="V48" s="747"/>
      <c r="W48" s="747"/>
      <c r="X48" s="820">
        <v>1000</v>
      </c>
      <c r="Y48" s="814"/>
      <c r="Z48" s="814"/>
      <c r="AA48" s="814"/>
      <c r="AB48" s="814"/>
      <c r="AC48" s="814"/>
      <c r="AD48" s="815"/>
      <c r="AE48" s="816" t="s">
        <v>38</v>
      </c>
      <c r="AF48" s="817"/>
      <c r="AG48" s="818" t="s">
        <v>38</v>
      </c>
      <c r="AH48" s="819"/>
    </row>
    <row r="49" spans="2:34" s="243" customFormat="1" ht="38.4" customHeight="1">
      <c r="B49" s="127">
        <v>29</v>
      </c>
      <c r="C49" s="762" t="str">
        <f>IF(C6="English","Mineral oil aromatic hydrocarbons consisting of 1 to 7 aromatic cycles (MOAH)",IF(C6="中文","1-7环矿物油芳烃 （MOAH）","1～7個の芳香環を持つ鉱物油芳香族炭化水素類（MOAH）"))</f>
        <v>Mineral oil aromatic hydrocarbons consisting of 1 to 7 aromatic cycles (MOAH)</v>
      </c>
      <c r="D49" s="764"/>
      <c r="E49" s="764"/>
      <c r="F49" s="764"/>
      <c r="G49" s="764"/>
      <c r="H49" s="764"/>
      <c r="I49" s="764"/>
      <c r="J49" s="764"/>
      <c r="K49" s="764"/>
      <c r="L49" s="764"/>
      <c r="M49" s="764"/>
      <c r="N49" s="764"/>
      <c r="O49" s="764"/>
      <c r="P49" s="764"/>
      <c r="Q49" s="746" t="str">
        <f>IF(C6="English","Ink used for packaging materials, paper printed materials",IF(C6="中文","用于包装材料、纸质印刷的油墨","梱包・包装材・紙の印刷物に使用されるインク"))</f>
        <v>Ink used for packaging materials, paper printed materials</v>
      </c>
      <c r="R49" s="746"/>
      <c r="S49" s="746"/>
      <c r="T49" s="747"/>
      <c r="U49" s="747"/>
      <c r="V49" s="747"/>
      <c r="W49" s="747"/>
      <c r="X49" s="749" t="str">
        <f>IF(C6="English","In total;
 10,000ppm(1wt%)",IF(C6="中文","总量10,000ppm(1wt%)","合計: 10,000ppm      
      (1wt%)"))</f>
        <v>In total;
 10,000ppm(1wt%)</v>
      </c>
      <c r="Y49" s="753"/>
      <c r="Z49" s="753"/>
      <c r="AA49" s="753"/>
      <c r="AB49" s="753"/>
      <c r="AC49" s="753"/>
      <c r="AD49" s="753"/>
      <c r="AE49" s="816" t="s">
        <v>38</v>
      </c>
      <c r="AF49" s="817"/>
      <c r="AG49" s="818" t="s">
        <v>38</v>
      </c>
      <c r="AH49" s="819"/>
    </row>
    <row r="50" spans="2:34" s="243" customFormat="1" ht="180.6" customHeight="1">
      <c r="B50" s="127">
        <v>30</v>
      </c>
      <c r="C50" s="762" t="str">
        <f>IF(C6="English","Mineral oil aromatic hydrocarbons consisting of 1 to 7 aromatic cycles (MOAH)
Mineral oil saturated hydrocarbons consisting of 16 to 35 carbon atoms (MOSH)",IF(C6="中文","1-7环矿物油芳烃 （MOAH）
具有16-35个碳原子的矿物油饱和烃 （MOSH）","1～7個の芳香環を持つ鉱物油芳香族炭化水素類（MOAH）
炭素数16～35の鉱物油飽和炭化水素類（MOSH）"))</f>
        <v>Mineral oil aromatic hydrocarbons consisting of 1 to 7 aromatic cycles (MOAH)
Mineral oil saturated hydrocarbons consisting of 16 to 35 carbon atoms (MOSH)</v>
      </c>
      <c r="D50" s="764"/>
      <c r="E50" s="764"/>
      <c r="F50" s="764"/>
      <c r="G50" s="764"/>
      <c r="H50" s="764"/>
      <c r="I50" s="764"/>
      <c r="J50" s="764"/>
      <c r="K50" s="764"/>
      <c r="L50" s="764"/>
      <c r="M50" s="764"/>
      <c r="N50" s="764"/>
      <c r="O50" s="764"/>
      <c r="P50" s="764"/>
      <c r="Q50" s="746" t="str">
        <f>IF(C6="English","Ink used for packaging materials, paper printed materials",IF(C6="中文","用于包装材料、纸质印刷的油墨","梱包・包装材・紙の印刷物に使用されるインク"))</f>
        <v>Ink used for packaging materials, paper printed materials</v>
      </c>
      <c r="R50" s="746"/>
      <c r="S50" s="746"/>
      <c r="T50" s="747"/>
      <c r="U50" s="747"/>
      <c r="V50" s="747"/>
      <c r="W50" s="747"/>
      <c r="X50" s="749" t="str">
        <f>IF(C6="English","MOAH consisting of 1 to 7 aromatic cycles in total;
1,000ppm
(0.1wt％)
MOAH consisting of 3 to 7 aromatic cycles in total;
1 ppm
(0.0001wt%)
MOSH consisting of 16 to 35 carbon atoms in total;
1,000ppm
(0.1wt％)",IF(C6="中文","1-7环矿物油芳烃 （MOAH）
合计1,000ppm
(0.1wt％)
3-7环矿物油芳烃 （MOAH）
合计1 ppm
(0.0001wt%)
具有16-35个碳原子 的矿物油饱和烃 （MOSH）
合计1,000ppm
(0.1wt％)","1～7個の芳香環を持つMOAHの合計:1,000ppm
(0.1wt％)
3～7個の芳香環を持つMOAHの合計:1 ppm
(0.0001wt%)
炭素数16～35のMOSH の合計:1,000ppm
(0.1wt％)"))</f>
        <v>MOAH consisting of 1 to 7 aromatic cycles in total;
1,000ppm
(0.1wt％)
MOAH consisting of 3 to 7 aromatic cycles in total;
1 ppm
(0.0001wt%)
MOSH consisting of 16 to 35 carbon atoms in total;
1,000ppm
(0.1wt％)</v>
      </c>
      <c r="Y50" s="753"/>
      <c r="Z50" s="753"/>
      <c r="AA50" s="753"/>
      <c r="AB50" s="753"/>
      <c r="AC50" s="753"/>
      <c r="AD50" s="753"/>
      <c r="AE50" s="816" t="s">
        <v>38</v>
      </c>
      <c r="AF50" s="817"/>
      <c r="AG50" s="818" t="s">
        <v>38</v>
      </c>
      <c r="AH50" s="819"/>
    </row>
    <row r="51" spans="2:34" s="243" customFormat="1" ht="23.1" customHeight="1">
      <c r="B51" s="127"/>
      <c r="C51" s="771"/>
      <c r="D51" s="809"/>
      <c r="E51" s="809"/>
      <c r="F51" s="809"/>
      <c r="G51" s="809"/>
      <c r="H51" s="809"/>
      <c r="I51" s="809"/>
      <c r="J51" s="809"/>
      <c r="K51" s="809"/>
      <c r="L51" s="809"/>
      <c r="M51" s="809"/>
      <c r="N51" s="809"/>
      <c r="O51" s="809"/>
      <c r="P51" s="810"/>
      <c r="Q51" s="811"/>
      <c r="R51" s="812"/>
      <c r="S51" s="812"/>
      <c r="T51" s="812"/>
      <c r="U51" s="812"/>
      <c r="V51" s="812"/>
      <c r="W51" s="813"/>
      <c r="X51" s="777"/>
      <c r="Y51" s="814"/>
      <c r="Z51" s="814"/>
      <c r="AA51" s="814"/>
      <c r="AB51" s="814"/>
      <c r="AC51" s="814"/>
      <c r="AD51" s="815"/>
      <c r="AE51" s="816" t="s">
        <v>38</v>
      </c>
      <c r="AF51" s="817"/>
      <c r="AG51" s="818" t="s">
        <v>38</v>
      </c>
      <c r="AH51" s="819"/>
    </row>
    <row r="52" spans="2:34" s="243" customFormat="1" ht="23.1" customHeight="1">
      <c r="B52" s="127"/>
      <c r="C52" s="771"/>
      <c r="D52" s="809"/>
      <c r="E52" s="809"/>
      <c r="F52" s="809"/>
      <c r="G52" s="809"/>
      <c r="H52" s="809"/>
      <c r="I52" s="809"/>
      <c r="J52" s="809"/>
      <c r="K52" s="809"/>
      <c r="L52" s="809"/>
      <c r="M52" s="809"/>
      <c r="N52" s="809"/>
      <c r="O52" s="809"/>
      <c r="P52" s="810"/>
      <c r="Q52" s="811"/>
      <c r="R52" s="812"/>
      <c r="S52" s="812"/>
      <c r="T52" s="812"/>
      <c r="U52" s="812"/>
      <c r="V52" s="812"/>
      <c r="W52" s="813"/>
      <c r="X52" s="777"/>
      <c r="Y52" s="814"/>
      <c r="Z52" s="814"/>
      <c r="AA52" s="814"/>
      <c r="AB52" s="814"/>
      <c r="AC52" s="814"/>
      <c r="AD52" s="815"/>
      <c r="AE52" s="816" t="s">
        <v>38</v>
      </c>
      <c r="AF52" s="817"/>
      <c r="AG52" s="818" t="s">
        <v>38</v>
      </c>
      <c r="AH52" s="819"/>
    </row>
    <row r="53" spans="2:34" s="243" customFormat="1" ht="23.1" customHeight="1">
      <c r="B53" s="127"/>
      <c r="C53" s="771"/>
      <c r="D53" s="809"/>
      <c r="E53" s="809"/>
      <c r="F53" s="809"/>
      <c r="G53" s="809"/>
      <c r="H53" s="809"/>
      <c r="I53" s="809"/>
      <c r="J53" s="809"/>
      <c r="K53" s="809"/>
      <c r="L53" s="809"/>
      <c r="M53" s="809"/>
      <c r="N53" s="809"/>
      <c r="O53" s="809"/>
      <c r="P53" s="810"/>
      <c r="Q53" s="811"/>
      <c r="R53" s="812"/>
      <c r="S53" s="812"/>
      <c r="T53" s="812"/>
      <c r="U53" s="812"/>
      <c r="V53" s="812"/>
      <c r="W53" s="813"/>
      <c r="X53" s="777"/>
      <c r="Y53" s="814"/>
      <c r="Z53" s="814"/>
      <c r="AA53" s="814"/>
      <c r="AB53" s="814"/>
      <c r="AC53" s="814"/>
      <c r="AD53" s="815"/>
      <c r="AE53" s="816" t="s">
        <v>38</v>
      </c>
      <c r="AF53" s="817"/>
      <c r="AG53" s="818" t="s">
        <v>38</v>
      </c>
      <c r="AH53" s="819"/>
    </row>
    <row r="54" spans="2:34" s="243" customFormat="1" ht="23.1" customHeight="1">
      <c r="B54" s="127"/>
      <c r="C54" s="771"/>
      <c r="D54" s="809"/>
      <c r="E54" s="809"/>
      <c r="F54" s="809"/>
      <c r="G54" s="809"/>
      <c r="H54" s="809"/>
      <c r="I54" s="809"/>
      <c r="J54" s="809"/>
      <c r="K54" s="809"/>
      <c r="L54" s="809"/>
      <c r="M54" s="809"/>
      <c r="N54" s="809"/>
      <c r="O54" s="809"/>
      <c r="P54" s="810"/>
      <c r="Q54" s="811"/>
      <c r="R54" s="812"/>
      <c r="S54" s="812"/>
      <c r="T54" s="812"/>
      <c r="U54" s="812"/>
      <c r="V54" s="812"/>
      <c r="W54" s="813"/>
      <c r="X54" s="777"/>
      <c r="Y54" s="814"/>
      <c r="Z54" s="814"/>
      <c r="AA54" s="814"/>
      <c r="AB54" s="814"/>
      <c r="AC54" s="814"/>
      <c r="AD54" s="815"/>
      <c r="AE54" s="816" t="s">
        <v>38</v>
      </c>
      <c r="AF54" s="817"/>
      <c r="AG54" s="818" t="s">
        <v>38</v>
      </c>
      <c r="AH54" s="819"/>
    </row>
    <row r="55" spans="2:34" s="243" customFormat="1" ht="23.1" customHeight="1">
      <c r="B55" s="127"/>
      <c r="C55" s="771"/>
      <c r="D55" s="809"/>
      <c r="E55" s="809"/>
      <c r="F55" s="809"/>
      <c r="G55" s="809"/>
      <c r="H55" s="809"/>
      <c r="I55" s="809"/>
      <c r="J55" s="809"/>
      <c r="K55" s="809"/>
      <c r="L55" s="809"/>
      <c r="M55" s="809"/>
      <c r="N55" s="809"/>
      <c r="O55" s="809"/>
      <c r="P55" s="810"/>
      <c r="Q55" s="811"/>
      <c r="R55" s="812"/>
      <c r="S55" s="812"/>
      <c r="T55" s="812"/>
      <c r="U55" s="812"/>
      <c r="V55" s="812"/>
      <c r="W55" s="813"/>
      <c r="X55" s="777"/>
      <c r="Y55" s="814"/>
      <c r="Z55" s="814"/>
      <c r="AA55" s="814"/>
      <c r="AB55" s="814"/>
      <c r="AC55" s="814"/>
      <c r="AD55" s="815"/>
      <c r="AE55" s="816" t="s">
        <v>38</v>
      </c>
      <c r="AF55" s="817"/>
      <c r="AG55" s="818" t="s">
        <v>38</v>
      </c>
      <c r="AH55" s="819"/>
    </row>
    <row r="56" spans="2:34" s="243" customFormat="1" ht="23.1" customHeight="1">
      <c r="B56" s="127"/>
      <c r="C56" s="771"/>
      <c r="D56" s="809"/>
      <c r="E56" s="809"/>
      <c r="F56" s="809"/>
      <c r="G56" s="809"/>
      <c r="H56" s="809"/>
      <c r="I56" s="809"/>
      <c r="J56" s="809"/>
      <c r="K56" s="809"/>
      <c r="L56" s="809"/>
      <c r="M56" s="809"/>
      <c r="N56" s="809"/>
      <c r="O56" s="809"/>
      <c r="P56" s="810"/>
      <c r="Q56" s="811"/>
      <c r="R56" s="812"/>
      <c r="S56" s="812"/>
      <c r="T56" s="812"/>
      <c r="U56" s="812"/>
      <c r="V56" s="812"/>
      <c r="W56" s="813"/>
      <c r="X56" s="777"/>
      <c r="Y56" s="814"/>
      <c r="Z56" s="814"/>
      <c r="AA56" s="814"/>
      <c r="AB56" s="814"/>
      <c r="AC56" s="814"/>
      <c r="AD56" s="815"/>
      <c r="AE56" s="816" t="s">
        <v>38</v>
      </c>
      <c r="AF56" s="817"/>
      <c r="AG56" s="818" t="s">
        <v>38</v>
      </c>
      <c r="AH56" s="819"/>
    </row>
    <row r="57" spans="2:34" s="243" customFormat="1" ht="23.1" customHeight="1">
      <c r="B57" s="127"/>
      <c r="C57" s="771"/>
      <c r="D57" s="809"/>
      <c r="E57" s="809"/>
      <c r="F57" s="809"/>
      <c r="G57" s="809"/>
      <c r="H57" s="809"/>
      <c r="I57" s="809"/>
      <c r="J57" s="809"/>
      <c r="K57" s="809"/>
      <c r="L57" s="809"/>
      <c r="M57" s="809"/>
      <c r="N57" s="809"/>
      <c r="O57" s="809"/>
      <c r="P57" s="810"/>
      <c r="Q57" s="811"/>
      <c r="R57" s="812"/>
      <c r="S57" s="812"/>
      <c r="T57" s="812"/>
      <c r="U57" s="812"/>
      <c r="V57" s="812"/>
      <c r="W57" s="813"/>
      <c r="X57" s="777"/>
      <c r="Y57" s="814"/>
      <c r="Z57" s="814"/>
      <c r="AA57" s="814"/>
      <c r="AB57" s="814"/>
      <c r="AC57" s="814"/>
      <c r="AD57" s="815"/>
      <c r="AE57" s="816" t="s">
        <v>38</v>
      </c>
      <c r="AF57" s="817"/>
      <c r="AG57" s="818" t="s">
        <v>38</v>
      </c>
      <c r="AH57" s="819"/>
    </row>
    <row r="58" spans="2:34" s="243" customFormat="1" ht="23.1" customHeight="1">
      <c r="B58" s="127"/>
      <c r="C58" s="771"/>
      <c r="D58" s="809"/>
      <c r="E58" s="809"/>
      <c r="F58" s="809"/>
      <c r="G58" s="809"/>
      <c r="H58" s="809"/>
      <c r="I58" s="809"/>
      <c r="J58" s="809"/>
      <c r="K58" s="809"/>
      <c r="L58" s="809"/>
      <c r="M58" s="809"/>
      <c r="N58" s="809"/>
      <c r="O58" s="809"/>
      <c r="P58" s="810"/>
      <c r="Q58" s="811"/>
      <c r="R58" s="812"/>
      <c r="S58" s="812"/>
      <c r="T58" s="812"/>
      <c r="U58" s="812"/>
      <c r="V58" s="812"/>
      <c r="W58" s="813"/>
      <c r="X58" s="777"/>
      <c r="Y58" s="814"/>
      <c r="Z58" s="814"/>
      <c r="AA58" s="814"/>
      <c r="AB58" s="814"/>
      <c r="AC58" s="814"/>
      <c r="AD58" s="815"/>
      <c r="AE58" s="816" t="s">
        <v>38</v>
      </c>
      <c r="AF58" s="817"/>
      <c r="AG58" s="818" t="s">
        <v>38</v>
      </c>
      <c r="AH58" s="819"/>
    </row>
    <row r="59" spans="2:34" s="243" customFormat="1" ht="23.1" customHeight="1">
      <c r="B59" s="127"/>
      <c r="C59" s="771"/>
      <c r="D59" s="809"/>
      <c r="E59" s="809"/>
      <c r="F59" s="809"/>
      <c r="G59" s="809"/>
      <c r="H59" s="809"/>
      <c r="I59" s="809"/>
      <c r="J59" s="809"/>
      <c r="K59" s="809"/>
      <c r="L59" s="809"/>
      <c r="M59" s="809"/>
      <c r="N59" s="809"/>
      <c r="O59" s="809"/>
      <c r="P59" s="810"/>
      <c r="Q59" s="811"/>
      <c r="R59" s="812"/>
      <c r="S59" s="812"/>
      <c r="T59" s="812"/>
      <c r="U59" s="812"/>
      <c r="V59" s="812"/>
      <c r="W59" s="813"/>
      <c r="X59" s="777"/>
      <c r="Y59" s="814"/>
      <c r="Z59" s="814"/>
      <c r="AA59" s="814"/>
      <c r="AB59" s="814"/>
      <c r="AC59" s="814"/>
      <c r="AD59" s="815"/>
      <c r="AE59" s="816" t="s">
        <v>38</v>
      </c>
      <c r="AF59" s="817"/>
      <c r="AG59" s="818" t="s">
        <v>38</v>
      </c>
      <c r="AH59" s="819"/>
    </row>
    <row r="60" spans="2:34" s="243" customFormat="1" ht="23.1" customHeight="1">
      <c r="B60" s="127"/>
      <c r="C60" s="771"/>
      <c r="D60" s="809"/>
      <c r="E60" s="809"/>
      <c r="F60" s="809"/>
      <c r="G60" s="809"/>
      <c r="H60" s="809"/>
      <c r="I60" s="809"/>
      <c r="J60" s="809"/>
      <c r="K60" s="809"/>
      <c r="L60" s="809"/>
      <c r="M60" s="809"/>
      <c r="N60" s="809"/>
      <c r="O60" s="809"/>
      <c r="P60" s="810"/>
      <c r="Q60" s="811"/>
      <c r="R60" s="812"/>
      <c r="S60" s="812"/>
      <c r="T60" s="812"/>
      <c r="U60" s="812"/>
      <c r="V60" s="812"/>
      <c r="W60" s="813"/>
      <c r="X60" s="777"/>
      <c r="Y60" s="814"/>
      <c r="Z60" s="814"/>
      <c r="AA60" s="814"/>
      <c r="AB60" s="814"/>
      <c r="AC60" s="814"/>
      <c r="AD60" s="815"/>
      <c r="AE60" s="816" t="s">
        <v>38</v>
      </c>
      <c r="AF60" s="817"/>
      <c r="AG60" s="818" t="s">
        <v>38</v>
      </c>
      <c r="AH60" s="819"/>
    </row>
    <row r="61" spans="2:34" s="243" customFormat="1" ht="23.1" customHeight="1">
      <c r="B61" s="127"/>
      <c r="C61" s="771"/>
      <c r="D61" s="809"/>
      <c r="E61" s="809"/>
      <c r="F61" s="809"/>
      <c r="G61" s="809"/>
      <c r="H61" s="809"/>
      <c r="I61" s="809"/>
      <c r="J61" s="809"/>
      <c r="K61" s="809"/>
      <c r="L61" s="809"/>
      <c r="M61" s="809"/>
      <c r="N61" s="809"/>
      <c r="O61" s="809"/>
      <c r="P61" s="810"/>
      <c r="Q61" s="811"/>
      <c r="R61" s="812"/>
      <c r="S61" s="812"/>
      <c r="T61" s="812"/>
      <c r="U61" s="812"/>
      <c r="V61" s="812"/>
      <c r="W61" s="813"/>
      <c r="X61" s="777"/>
      <c r="Y61" s="814"/>
      <c r="Z61" s="814"/>
      <c r="AA61" s="814"/>
      <c r="AB61" s="814"/>
      <c r="AC61" s="814"/>
      <c r="AD61" s="815"/>
      <c r="AE61" s="816" t="s">
        <v>38</v>
      </c>
      <c r="AF61" s="817"/>
      <c r="AG61" s="818" t="s">
        <v>38</v>
      </c>
      <c r="AH61" s="819"/>
    </row>
    <row r="62" spans="2:34" s="243" customFormat="1" ht="23.1" customHeight="1">
      <c r="B62" s="127"/>
      <c r="C62" s="771"/>
      <c r="D62" s="809"/>
      <c r="E62" s="809"/>
      <c r="F62" s="809"/>
      <c r="G62" s="809"/>
      <c r="H62" s="809"/>
      <c r="I62" s="809"/>
      <c r="J62" s="809"/>
      <c r="K62" s="809"/>
      <c r="L62" s="809"/>
      <c r="M62" s="809"/>
      <c r="N62" s="809"/>
      <c r="O62" s="809"/>
      <c r="P62" s="810"/>
      <c r="Q62" s="811"/>
      <c r="R62" s="812"/>
      <c r="S62" s="812"/>
      <c r="T62" s="812"/>
      <c r="U62" s="812"/>
      <c r="V62" s="812"/>
      <c r="W62" s="813"/>
      <c r="X62" s="777"/>
      <c r="Y62" s="814"/>
      <c r="Z62" s="814"/>
      <c r="AA62" s="814"/>
      <c r="AB62" s="814"/>
      <c r="AC62" s="814"/>
      <c r="AD62" s="815"/>
      <c r="AE62" s="816" t="s">
        <v>38</v>
      </c>
      <c r="AF62" s="817"/>
      <c r="AG62" s="818" t="s">
        <v>38</v>
      </c>
      <c r="AH62" s="819"/>
    </row>
    <row r="63" spans="2:34" s="243" customFormat="1" ht="23.1" customHeight="1">
      <c r="B63" s="127"/>
      <c r="C63" s="771"/>
      <c r="D63" s="809"/>
      <c r="E63" s="809"/>
      <c r="F63" s="809"/>
      <c r="G63" s="809"/>
      <c r="H63" s="809"/>
      <c r="I63" s="809"/>
      <c r="J63" s="809"/>
      <c r="K63" s="809"/>
      <c r="L63" s="809"/>
      <c r="M63" s="809"/>
      <c r="N63" s="809"/>
      <c r="O63" s="809"/>
      <c r="P63" s="810"/>
      <c r="Q63" s="811"/>
      <c r="R63" s="812"/>
      <c r="S63" s="812"/>
      <c r="T63" s="812"/>
      <c r="U63" s="812"/>
      <c r="V63" s="812"/>
      <c r="W63" s="813"/>
      <c r="X63" s="777"/>
      <c r="Y63" s="814"/>
      <c r="Z63" s="814"/>
      <c r="AA63" s="814"/>
      <c r="AB63" s="814"/>
      <c r="AC63" s="814"/>
      <c r="AD63" s="815"/>
      <c r="AE63" s="816" t="s">
        <v>38</v>
      </c>
      <c r="AF63" s="817"/>
      <c r="AG63" s="818" t="s">
        <v>38</v>
      </c>
      <c r="AH63" s="819"/>
    </row>
    <row r="64" spans="2:34" s="243" customFormat="1" ht="23.1" customHeight="1">
      <c r="B64" s="127"/>
      <c r="C64" s="771"/>
      <c r="D64" s="809"/>
      <c r="E64" s="809"/>
      <c r="F64" s="809"/>
      <c r="G64" s="809"/>
      <c r="H64" s="809"/>
      <c r="I64" s="809"/>
      <c r="J64" s="809"/>
      <c r="K64" s="809"/>
      <c r="L64" s="809"/>
      <c r="M64" s="809"/>
      <c r="N64" s="809"/>
      <c r="O64" s="809"/>
      <c r="P64" s="810"/>
      <c r="Q64" s="811"/>
      <c r="R64" s="812"/>
      <c r="S64" s="812"/>
      <c r="T64" s="812"/>
      <c r="U64" s="812"/>
      <c r="V64" s="812"/>
      <c r="W64" s="813"/>
      <c r="X64" s="777"/>
      <c r="Y64" s="814"/>
      <c r="Z64" s="814"/>
      <c r="AA64" s="814"/>
      <c r="AB64" s="814"/>
      <c r="AC64" s="814"/>
      <c r="AD64" s="815"/>
      <c r="AE64" s="816" t="s">
        <v>38</v>
      </c>
      <c r="AF64" s="817"/>
      <c r="AG64" s="818" t="s">
        <v>38</v>
      </c>
      <c r="AH64" s="819"/>
    </row>
    <row r="65" spans="2:34" s="243" customFormat="1" ht="23.1" customHeight="1">
      <c r="B65" s="127"/>
      <c r="C65" s="771"/>
      <c r="D65" s="809"/>
      <c r="E65" s="809"/>
      <c r="F65" s="809"/>
      <c r="G65" s="809"/>
      <c r="H65" s="809"/>
      <c r="I65" s="809"/>
      <c r="J65" s="809"/>
      <c r="K65" s="809"/>
      <c r="L65" s="809"/>
      <c r="M65" s="809"/>
      <c r="N65" s="809"/>
      <c r="O65" s="809"/>
      <c r="P65" s="810"/>
      <c r="Q65" s="811"/>
      <c r="R65" s="812"/>
      <c r="S65" s="812"/>
      <c r="T65" s="812"/>
      <c r="U65" s="812"/>
      <c r="V65" s="812"/>
      <c r="W65" s="813"/>
      <c r="X65" s="777"/>
      <c r="Y65" s="814"/>
      <c r="Z65" s="814"/>
      <c r="AA65" s="814"/>
      <c r="AB65" s="814"/>
      <c r="AC65" s="814"/>
      <c r="AD65" s="815"/>
      <c r="AE65" s="816" t="s">
        <v>38</v>
      </c>
      <c r="AF65" s="817"/>
      <c r="AG65" s="818" t="s">
        <v>38</v>
      </c>
      <c r="AH65" s="819"/>
    </row>
    <row r="66" spans="2:34" s="243" customFormat="1" ht="23.1" customHeight="1">
      <c r="B66" s="127"/>
      <c r="C66" s="771"/>
      <c r="D66" s="809"/>
      <c r="E66" s="809"/>
      <c r="F66" s="809"/>
      <c r="G66" s="809"/>
      <c r="H66" s="809"/>
      <c r="I66" s="809"/>
      <c r="J66" s="809"/>
      <c r="K66" s="809"/>
      <c r="L66" s="809"/>
      <c r="M66" s="809"/>
      <c r="N66" s="809"/>
      <c r="O66" s="809"/>
      <c r="P66" s="810"/>
      <c r="Q66" s="811"/>
      <c r="R66" s="812"/>
      <c r="S66" s="812"/>
      <c r="T66" s="812"/>
      <c r="U66" s="812"/>
      <c r="V66" s="812"/>
      <c r="W66" s="813"/>
      <c r="X66" s="777"/>
      <c r="Y66" s="814"/>
      <c r="Z66" s="814"/>
      <c r="AA66" s="814"/>
      <c r="AB66" s="814"/>
      <c r="AC66" s="814"/>
      <c r="AD66" s="815"/>
      <c r="AE66" s="816" t="s">
        <v>38</v>
      </c>
      <c r="AF66" s="817"/>
      <c r="AG66" s="818" t="s">
        <v>38</v>
      </c>
      <c r="AH66" s="819"/>
    </row>
    <row r="67" spans="2:34" s="243" customFormat="1" ht="23.1" customHeight="1">
      <c r="B67" s="127"/>
      <c r="C67" s="771"/>
      <c r="D67" s="809"/>
      <c r="E67" s="809"/>
      <c r="F67" s="809"/>
      <c r="G67" s="809"/>
      <c r="H67" s="809"/>
      <c r="I67" s="809"/>
      <c r="J67" s="809"/>
      <c r="K67" s="809"/>
      <c r="L67" s="809"/>
      <c r="M67" s="809"/>
      <c r="N67" s="809"/>
      <c r="O67" s="809"/>
      <c r="P67" s="810"/>
      <c r="Q67" s="811"/>
      <c r="R67" s="812"/>
      <c r="S67" s="812"/>
      <c r="T67" s="812"/>
      <c r="U67" s="812"/>
      <c r="V67" s="812"/>
      <c r="W67" s="813"/>
      <c r="X67" s="777"/>
      <c r="Y67" s="814"/>
      <c r="Z67" s="814"/>
      <c r="AA67" s="814"/>
      <c r="AB67" s="814"/>
      <c r="AC67" s="814"/>
      <c r="AD67" s="815"/>
      <c r="AE67" s="816" t="s">
        <v>38</v>
      </c>
      <c r="AF67" s="817"/>
      <c r="AG67" s="818" t="s">
        <v>38</v>
      </c>
      <c r="AH67" s="819"/>
    </row>
    <row r="68" spans="2:34" s="243" customFormat="1" ht="23.1" customHeight="1">
      <c r="B68" s="127"/>
      <c r="C68" s="771"/>
      <c r="D68" s="809"/>
      <c r="E68" s="809"/>
      <c r="F68" s="809"/>
      <c r="G68" s="809"/>
      <c r="H68" s="809"/>
      <c r="I68" s="809"/>
      <c r="J68" s="809"/>
      <c r="K68" s="809"/>
      <c r="L68" s="809"/>
      <c r="M68" s="809"/>
      <c r="N68" s="809"/>
      <c r="O68" s="809"/>
      <c r="P68" s="810"/>
      <c r="Q68" s="811"/>
      <c r="R68" s="812"/>
      <c r="S68" s="812"/>
      <c r="T68" s="812"/>
      <c r="U68" s="812"/>
      <c r="V68" s="812"/>
      <c r="W68" s="813"/>
      <c r="X68" s="777"/>
      <c r="Y68" s="814"/>
      <c r="Z68" s="814"/>
      <c r="AA68" s="814"/>
      <c r="AB68" s="814"/>
      <c r="AC68" s="814"/>
      <c r="AD68" s="815"/>
      <c r="AE68" s="816" t="s">
        <v>38</v>
      </c>
      <c r="AF68" s="817"/>
      <c r="AG68" s="818" t="s">
        <v>38</v>
      </c>
      <c r="AH68" s="819"/>
    </row>
    <row r="69" spans="2:34" s="243" customFormat="1" ht="23.1" customHeight="1">
      <c r="B69" s="127"/>
      <c r="C69" s="771"/>
      <c r="D69" s="809"/>
      <c r="E69" s="809"/>
      <c r="F69" s="809"/>
      <c r="G69" s="809"/>
      <c r="H69" s="809"/>
      <c r="I69" s="809"/>
      <c r="J69" s="809"/>
      <c r="K69" s="809"/>
      <c r="L69" s="809"/>
      <c r="M69" s="809"/>
      <c r="N69" s="809"/>
      <c r="O69" s="809"/>
      <c r="P69" s="810"/>
      <c r="Q69" s="811"/>
      <c r="R69" s="812"/>
      <c r="S69" s="812"/>
      <c r="T69" s="812"/>
      <c r="U69" s="812"/>
      <c r="V69" s="812"/>
      <c r="W69" s="813"/>
      <c r="X69" s="777"/>
      <c r="Y69" s="814"/>
      <c r="Z69" s="814"/>
      <c r="AA69" s="814"/>
      <c r="AB69" s="814"/>
      <c r="AC69" s="814"/>
      <c r="AD69" s="815"/>
      <c r="AE69" s="816" t="s">
        <v>38</v>
      </c>
      <c r="AF69" s="817"/>
      <c r="AG69" s="818" t="s">
        <v>38</v>
      </c>
      <c r="AH69" s="819"/>
    </row>
    <row r="70" spans="2:34" s="243" customFormat="1" ht="23.1" customHeight="1">
      <c r="B70" s="127"/>
      <c r="C70" s="771"/>
      <c r="D70" s="809"/>
      <c r="E70" s="809"/>
      <c r="F70" s="809"/>
      <c r="G70" s="809"/>
      <c r="H70" s="809"/>
      <c r="I70" s="809"/>
      <c r="J70" s="809"/>
      <c r="K70" s="809"/>
      <c r="L70" s="809"/>
      <c r="M70" s="809"/>
      <c r="N70" s="809"/>
      <c r="O70" s="809"/>
      <c r="P70" s="810"/>
      <c r="Q70" s="811"/>
      <c r="R70" s="812"/>
      <c r="S70" s="812"/>
      <c r="T70" s="812"/>
      <c r="U70" s="812"/>
      <c r="V70" s="812"/>
      <c r="W70" s="813"/>
      <c r="X70" s="777"/>
      <c r="Y70" s="814"/>
      <c r="Z70" s="814"/>
      <c r="AA70" s="814"/>
      <c r="AB70" s="814"/>
      <c r="AC70" s="814"/>
      <c r="AD70" s="815"/>
      <c r="AE70" s="816" t="s">
        <v>38</v>
      </c>
      <c r="AF70" s="817"/>
      <c r="AG70" s="818" t="s">
        <v>38</v>
      </c>
      <c r="AH70" s="819"/>
    </row>
    <row r="71" spans="2:34" s="243" customFormat="1" ht="23.1" customHeight="1">
      <c r="B71" s="127"/>
      <c r="C71" s="771"/>
      <c r="D71" s="809"/>
      <c r="E71" s="809"/>
      <c r="F71" s="809"/>
      <c r="G71" s="809"/>
      <c r="H71" s="809"/>
      <c r="I71" s="809"/>
      <c r="J71" s="809"/>
      <c r="K71" s="809"/>
      <c r="L71" s="809"/>
      <c r="M71" s="809"/>
      <c r="N71" s="809"/>
      <c r="O71" s="809"/>
      <c r="P71" s="810"/>
      <c r="Q71" s="811"/>
      <c r="R71" s="812"/>
      <c r="S71" s="812"/>
      <c r="T71" s="812"/>
      <c r="U71" s="812"/>
      <c r="V71" s="812"/>
      <c r="W71" s="813"/>
      <c r="X71" s="777"/>
      <c r="Y71" s="814"/>
      <c r="Z71" s="814"/>
      <c r="AA71" s="814"/>
      <c r="AB71" s="814"/>
      <c r="AC71" s="814"/>
      <c r="AD71" s="815"/>
      <c r="AE71" s="816" t="s">
        <v>38</v>
      </c>
      <c r="AF71" s="817"/>
      <c r="AG71" s="818" t="s">
        <v>38</v>
      </c>
      <c r="AH71" s="819"/>
    </row>
    <row r="72" spans="2:34" s="243" customFormat="1" ht="23.1" customHeight="1">
      <c r="B72" s="127"/>
      <c r="C72" s="771"/>
      <c r="D72" s="809"/>
      <c r="E72" s="809"/>
      <c r="F72" s="809"/>
      <c r="G72" s="809"/>
      <c r="H72" s="809"/>
      <c r="I72" s="809"/>
      <c r="J72" s="809"/>
      <c r="K72" s="809"/>
      <c r="L72" s="809"/>
      <c r="M72" s="809"/>
      <c r="N72" s="809"/>
      <c r="O72" s="809"/>
      <c r="P72" s="810"/>
      <c r="Q72" s="811"/>
      <c r="R72" s="812"/>
      <c r="S72" s="812"/>
      <c r="T72" s="812"/>
      <c r="U72" s="812"/>
      <c r="V72" s="812"/>
      <c r="W72" s="813"/>
      <c r="X72" s="777"/>
      <c r="Y72" s="814"/>
      <c r="Z72" s="814"/>
      <c r="AA72" s="814"/>
      <c r="AB72" s="814"/>
      <c r="AC72" s="814"/>
      <c r="AD72" s="815"/>
      <c r="AE72" s="816" t="s">
        <v>38</v>
      </c>
      <c r="AF72" s="817"/>
      <c r="AG72" s="818" t="s">
        <v>38</v>
      </c>
      <c r="AH72" s="819"/>
    </row>
    <row r="73" spans="2:34" s="243" customFormat="1" ht="23.1" customHeight="1">
      <c r="B73" s="127"/>
      <c r="C73" s="771"/>
      <c r="D73" s="809"/>
      <c r="E73" s="809"/>
      <c r="F73" s="809"/>
      <c r="G73" s="809"/>
      <c r="H73" s="809"/>
      <c r="I73" s="809"/>
      <c r="J73" s="809"/>
      <c r="K73" s="809"/>
      <c r="L73" s="809"/>
      <c r="M73" s="809"/>
      <c r="N73" s="809"/>
      <c r="O73" s="809"/>
      <c r="P73" s="810"/>
      <c r="Q73" s="811"/>
      <c r="R73" s="812"/>
      <c r="S73" s="812"/>
      <c r="T73" s="812"/>
      <c r="U73" s="812"/>
      <c r="V73" s="812"/>
      <c r="W73" s="813"/>
      <c r="X73" s="777"/>
      <c r="Y73" s="814"/>
      <c r="Z73" s="814"/>
      <c r="AA73" s="814"/>
      <c r="AB73" s="814"/>
      <c r="AC73" s="814"/>
      <c r="AD73" s="815"/>
      <c r="AE73" s="816" t="s">
        <v>38</v>
      </c>
      <c r="AF73" s="817"/>
      <c r="AG73" s="818" t="s">
        <v>38</v>
      </c>
      <c r="AH73" s="819"/>
    </row>
    <row r="74" spans="2:34" s="243" customFormat="1" ht="23.1" customHeight="1">
      <c r="B74" s="127"/>
      <c r="C74" s="771"/>
      <c r="D74" s="809"/>
      <c r="E74" s="809"/>
      <c r="F74" s="809"/>
      <c r="G74" s="809"/>
      <c r="H74" s="809"/>
      <c r="I74" s="809"/>
      <c r="J74" s="809"/>
      <c r="K74" s="809"/>
      <c r="L74" s="809"/>
      <c r="M74" s="809"/>
      <c r="N74" s="809"/>
      <c r="O74" s="809"/>
      <c r="P74" s="810"/>
      <c r="Q74" s="811"/>
      <c r="R74" s="812"/>
      <c r="S74" s="812"/>
      <c r="T74" s="812"/>
      <c r="U74" s="812"/>
      <c r="V74" s="812"/>
      <c r="W74" s="813"/>
      <c r="X74" s="777"/>
      <c r="Y74" s="814"/>
      <c r="Z74" s="814"/>
      <c r="AA74" s="814"/>
      <c r="AB74" s="814"/>
      <c r="AC74" s="814"/>
      <c r="AD74" s="815"/>
      <c r="AE74" s="816" t="s">
        <v>38</v>
      </c>
      <c r="AF74" s="817"/>
      <c r="AG74" s="818" t="s">
        <v>38</v>
      </c>
      <c r="AH74" s="819"/>
    </row>
    <row r="75" spans="2:34" s="243" customFormat="1" ht="23.1" customHeight="1">
      <c r="B75" s="127"/>
      <c r="C75" s="771"/>
      <c r="D75" s="809"/>
      <c r="E75" s="809"/>
      <c r="F75" s="809"/>
      <c r="G75" s="809"/>
      <c r="H75" s="809"/>
      <c r="I75" s="809"/>
      <c r="J75" s="809"/>
      <c r="K75" s="809"/>
      <c r="L75" s="809"/>
      <c r="M75" s="809"/>
      <c r="N75" s="809"/>
      <c r="O75" s="809"/>
      <c r="P75" s="810"/>
      <c r="Q75" s="811"/>
      <c r="R75" s="812"/>
      <c r="S75" s="812"/>
      <c r="T75" s="812"/>
      <c r="U75" s="812"/>
      <c r="V75" s="812"/>
      <c r="W75" s="813"/>
      <c r="X75" s="777"/>
      <c r="Y75" s="814"/>
      <c r="Z75" s="814"/>
      <c r="AA75" s="814"/>
      <c r="AB75" s="814"/>
      <c r="AC75" s="814"/>
      <c r="AD75" s="815"/>
      <c r="AE75" s="816" t="s">
        <v>38</v>
      </c>
      <c r="AF75" s="817"/>
      <c r="AG75" s="818" t="s">
        <v>38</v>
      </c>
      <c r="AH75" s="819"/>
    </row>
    <row r="76" spans="2:34" s="243" customFormat="1" ht="23.1" customHeight="1">
      <c r="B76" s="127"/>
      <c r="C76" s="771"/>
      <c r="D76" s="809"/>
      <c r="E76" s="809"/>
      <c r="F76" s="809"/>
      <c r="G76" s="809"/>
      <c r="H76" s="809"/>
      <c r="I76" s="809"/>
      <c r="J76" s="809"/>
      <c r="K76" s="809"/>
      <c r="L76" s="809"/>
      <c r="M76" s="809"/>
      <c r="N76" s="809"/>
      <c r="O76" s="809"/>
      <c r="P76" s="810"/>
      <c r="Q76" s="811"/>
      <c r="R76" s="812"/>
      <c r="S76" s="812"/>
      <c r="T76" s="812"/>
      <c r="U76" s="812"/>
      <c r="V76" s="812"/>
      <c r="W76" s="813"/>
      <c r="X76" s="777"/>
      <c r="Y76" s="814"/>
      <c r="Z76" s="814"/>
      <c r="AA76" s="814"/>
      <c r="AB76" s="814"/>
      <c r="AC76" s="814"/>
      <c r="AD76" s="815"/>
      <c r="AE76" s="816" t="s">
        <v>38</v>
      </c>
      <c r="AF76" s="817"/>
      <c r="AG76" s="818" t="s">
        <v>38</v>
      </c>
      <c r="AH76" s="819"/>
    </row>
    <row r="77" spans="2:34" s="243" customFormat="1" ht="23.1" customHeight="1">
      <c r="B77" s="127"/>
      <c r="C77" s="771"/>
      <c r="D77" s="809"/>
      <c r="E77" s="809"/>
      <c r="F77" s="809"/>
      <c r="G77" s="809"/>
      <c r="H77" s="809"/>
      <c r="I77" s="809"/>
      <c r="J77" s="809"/>
      <c r="K77" s="809"/>
      <c r="L77" s="809"/>
      <c r="M77" s="809"/>
      <c r="N77" s="809"/>
      <c r="O77" s="809"/>
      <c r="P77" s="810"/>
      <c r="Q77" s="811"/>
      <c r="R77" s="812"/>
      <c r="S77" s="812"/>
      <c r="T77" s="812"/>
      <c r="U77" s="812"/>
      <c r="V77" s="812"/>
      <c r="W77" s="813"/>
      <c r="X77" s="777"/>
      <c r="Y77" s="814"/>
      <c r="Z77" s="814"/>
      <c r="AA77" s="814"/>
      <c r="AB77" s="814"/>
      <c r="AC77" s="814"/>
      <c r="AD77" s="815"/>
      <c r="AE77" s="816" t="s">
        <v>38</v>
      </c>
      <c r="AF77" s="817"/>
      <c r="AG77" s="818" t="s">
        <v>38</v>
      </c>
      <c r="AH77" s="819"/>
    </row>
    <row r="78" spans="2:34" s="243" customFormat="1" ht="23.1" customHeight="1">
      <c r="B78" s="127"/>
      <c r="C78" s="771"/>
      <c r="D78" s="809"/>
      <c r="E78" s="809"/>
      <c r="F78" s="809"/>
      <c r="G78" s="809"/>
      <c r="H78" s="809"/>
      <c r="I78" s="809"/>
      <c r="J78" s="809"/>
      <c r="K78" s="809"/>
      <c r="L78" s="809"/>
      <c r="M78" s="809"/>
      <c r="N78" s="809"/>
      <c r="O78" s="809"/>
      <c r="P78" s="810"/>
      <c r="Q78" s="811"/>
      <c r="R78" s="812"/>
      <c r="S78" s="812"/>
      <c r="T78" s="812"/>
      <c r="U78" s="812"/>
      <c r="V78" s="812"/>
      <c r="W78" s="813"/>
      <c r="X78" s="777"/>
      <c r="Y78" s="814"/>
      <c r="Z78" s="814"/>
      <c r="AA78" s="814"/>
      <c r="AB78" s="814"/>
      <c r="AC78" s="814"/>
      <c r="AD78" s="815"/>
      <c r="AE78" s="816" t="s">
        <v>38</v>
      </c>
      <c r="AF78" s="817"/>
      <c r="AG78" s="818" t="s">
        <v>38</v>
      </c>
      <c r="AH78" s="819"/>
    </row>
    <row r="79" spans="2:34" s="243" customFormat="1" ht="23.1" customHeight="1">
      <c r="B79" s="127"/>
      <c r="C79" s="771"/>
      <c r="D79" s="809"/>
      <c r="E79" s="809"/>
      <c r="F79" s="809"/>
      <c r="G79" s="809"/>
      <c r="H79" s="809"/>
      <c r="I79" s="809"/>
      <c r="J79" s="809"/>
      <c r="K79" s="809"/>
      <c r="L79" s="809"/>
      <c r="M79" s="809"/>
      <c r="N79" s="809"/>
      <c r="O79" s="809"/>
      <c r="P79" s="810"/>
      <c r="Q79" s="811"/>
      <c r="R79" s="812"/>
      <c r="S79" s="812"/>
      <c r="T79" s="812"/>
      <c r="U79" s="812"/>
      <c r="V79" s="812"/>
      <c r="W79" s="813"/>
      <c r="X79" s="777"/>
      <c r="Y79" s="814"/>
      <c r="Z79" s="814"/>
      <c r="AA79" s="814"/>
      <c r="AB79" s="814"/>
      <c r="AC79" s="814"/>
      <c r="AD79" s="815"/>
      <c r="AE79" s="816" t="s">
        <v>38</v>
      </c>
      <c r="AF79" s="817"/>
      <c r="AG79" s="818" t="s">
        <v>38</v>
      </c>
      <c r="AH79" s="819"/>
    </row>
    <row r="80" spans="2:34" s="243" customFormat="1" ht="5.0999999999999996" customHeight="1">
      <c r="B80" s="91"/>
      <c r="C80" s="92"/>
      <c r="D80" s="93"/>
      <c r="E80" s="93"/>
      <c r="F80" s="93"/>
      <c r="G80" s="93"/>
      <c r="H80" s="93"/>
      <c r="I80" s="93"/>
      <c r="J80" s="93"/>
      <c r="K80" s="93"/>
      <c r="L80" s="93"/>
      <c r="M80" s="93"/>
      <c r="N80" s="93"/>
      <c r="O80" s="93"/>
      <c r="P80" s="94"/>
      <c r="Q80" s="94"/>
      <c r="R80" s="94"/>
      <c r="S80" s="94"/>
      <c r="T80" s="94"/>
      <c r="U80" s="94"/>
      <c r="V80" s="94"/>
      <c r="W80" s="94"/>
      <c r="X80" s="94"/>
      <c r="Y80" s="94"/>
      <c r="Z80" s="94"/>
      <c r="AA80" s="94"/>
      <c r="AB80" s="94"/>
      <c r="AC80" s="94"/>
      <c r="AD80" s="94"/>
      <c r="AE80" s="94"/>
      <c r="AF80" s="94"/>
      <c r="AG80" s="94"/>
      <c r="AH80" s="94"/>
    </row>
    <row r="81" spans="1:40" s="243" customFormat="1" ht="15" customHeight="1">
      <c r="B81" s="92" t="str">
        <f>IF(C6="English","Please refer to 「Green Procurement Standard EM10507 」 for a detailed list(No.2, No.9, No.23 ) and the regulation value.",IF(C6="中文","No.2、No.9、No.23详细一览表以及限制物质请参照「绿色采购管理要领EM10507 」","No.2、No.9、No.23の詳細リストおよび規制値は「グリーン調達管理要領EM10507 ｣を参照願います。"))</f>
        <v>Please refer to 「Green Procurement Standard EM10507 」 for a detailed list(No.2, No.9, No.23 ) and the regulation value.</v>
      </c>
      <c r="D81" s="92"/>
      <c r="E81" s="92"/>
      <c r="F81" s="92"/>
      <c r="G81" s="92"/>
      <c r="H81" s="92"/>
      <c r="I81" s="94"/>
      <c r="J81" s="94"/>
      <c r="K81" s="94"/>
      <c r="L81" s="94"/>
      <c r="M81" s="94"/>
      <c r="N81" s="94"/>
      <c r="O81" s="94"/>
      <c r="P81" s="76"/>
      <c r="Q81" s="76"/>
      <c r="R81" s="76"/>
      <c r="S81" s="76"/>
      <c r="T81" s="76"/>
      <c r="U81" s="76"/>
      <c r="V81" s="76"/>
      <c r="W81" s="76"/>
      <c r="X81" s="76"/>
      <c r="Y81" s="76"/>
      <c r="Z81" s="76"/>
      <c r="AA81" s="76"/>
      <c r="AB81" s="76"/>
      <c r="AC81" s="76"/>
      <c r="AD81" s="76"/>
      <c r="AE81" s="76"/>
      <c r="AF81" s="76"/>
      <c r="AG81" s="76"/>
      <c r="AH81" s="76"/>
    </row>
    <row r="82" spans="1:40" s="243" customFormat="1" ht="5.0999999999999996" customHeight="1">
      <c r="B82" s="124"/>
      <c r="C82" s="95"/>
      <c r="D82" s="95"/>
      <c r="E82" s="95"/>
      <c r="F82" s="95"/>
      <c r="G82" s="95"/>
      <c r="H82" s="95"/>
      <c r="I82" s="95"/>
      <c r="J82" s="95"/>
      <c r="K82" s="95"/>
      <c r="L82" s="95"/>
      <c r="M82" s="95"/>
      <c r="N82" s="95"/>
      <c r="O82" s="96"/>
    </row>
    <row r="83" spans="1:40" s="243" customFormat="1" ht="13.5" customHeight="1">
      <c r="B83" s="97"/>
      <c r="C83" s="151"/>
      <c r="D83" s="242"/>
      <c r="E83" s="242"/>
      <c r="F83" s="242"/>
      <c r="G83" s="242"/>
      <c r="H83" s="242"/>
      <c r="I83" s="242"/>
      <c r="J83" s="242"/>
      <c r="K83" s="242"/>
      <c r="L83" s="242"/>
      <c r="M83" s="242"/>
      <c r="N83" s="242"/>
      <c r="O83" s="242"/>
      <c r="P83" s="72"/>
      <c r="Q83" s="94"/>
      <c r="R83" s="94"/>
      <c r="S83" s="94"/>
      <c r="T83" s="72"/>
      <c r="U83" s="72"/>
      <c r="V83" s="72"/>
      <c r="W83" s="72"/>
      <c r="X83" s="72"/>
      <c r="Y83" s="72"/>
      <c r="Z83" s="72"/>
      <c r="AA83" s="72"/>
      <c r="AB83" s="72"/>
      <c r="AC83" s="806" t="s">
        <v>86</v>
      </c>
      <c r="AD83" s="807"/>
      <c r="AE83" s="807"/>
      <c r="AF83" s="807"/>
      <c r="AG83" s="807"/>
      <c r="AH83" s="808"/>
      <c r="AK83" s="80"/>
      <c r="AL83" s="80"/>
      <c r="AM83" s="80"/>
      <c r="AN83" s="80"/>
    </row>
    <row r="84" spans="1:40" ht="15" customHeight="1">
      <c r="B84" s="79"/>
      <c r="C84" s="79"/>
      <c r="D84" s="95"/>
      <c r="E84" s="79"/>
      <c r="F84" s="79"/>
      <c r="G84" s="79"/>
      <c r="H84" s="79"/>
      <c r="I84" s="79"/>
      <c r="J84" s="79"/>
      <c r="K84" s="79"/>
      <c r="L84" s="79"/>
      <c r="M84" s="79"/>
      <c r="N84" s="79"/>
    </row>
    <row r="85" spans="1:40" ht="15" customHeight="1">
      <c r="B85" s="98"/>
      <c r="C85" s="98"/>
      <c r="D85" s="98"/>
      <c r="E85" s="98"/>
      <c r="F85" s="98"/>
      <c r="G85" s="98"/>
      <c r="H85" s="98"/>
      <c r="I85" s="98"/>
      <c r="J85" s="98"/>
      <c r="K85" s="98"/>
      <c r="L85" s="98"/>
      <c r="M85" s="98"/>
      <c r="N85" s="98"/>
    </row>
    <row r="86" spans="1:40" ht="15" customHeight="1">
      <c r="A86" s="76"/>
      <c r="B86" s="98"/>
      <c r="C86" s="98"/>
      <c r="D86" s="98"/>
      <c r="E86" s="98"/>
      <c r="F86" s="98"/>
      <c r="G86" s="98"/>
      <c r="H86" s="98"/>
      <c r="I86" s="98"/>
      <c r="J86" s="98"/>
      <c r="K86" s="98"/>
      <c r="L86" s="98"/>
      <c r="M86" s="98"/>
      <c r="N86" s="98"/>
      <c r="P86" s="80"/>
      <c r="Q86" s="80"/>
      <c r="R86" s="80"/>
      <c r="S86" s="80"/>
      <c r="T86" s="80"/>
      <c r="U86" s="80"/>
      <c r="V86" s="80"/>
      <c r="W86" s="80"/>
      <c r="X86" s="80"/>
      <c r="Y86" s="80"/>
      <c r="Z86" s="80"/>
      <c r="AA86" s="80"/>
      <c r="AB86" s="80"/>
      <c r="AC86" s="80"/>
      <c r="AD86" s="80"/>
      <c r="AE86" s="80"/>
      <c r="AG86" s="80"/>
    </row>
    <row r="87" spans="1:40" ht="15" customHeight="1">
      <c r="P87" s="80"/>
      <c r="Q87" s="80"/>
      <c r="R87" s="80"/>
      <c r="S87" s="80"/>
      <c r="T87" s="80"/>
      <c r="U87" s="80"/>
      <c r="V87" s="80"/>
      <c r="W87" s="80"/>
      <c r="X87" s="80"/>
      <c r="Y87" s="80"/>
      <c r="Z87" s="80"/>
      <c r="AA87" s="80"/>
      <c r="AB87" s="80"/>
      <c r="AC87" s="80"/>
      <c r="AD87" s="80"/>
      <c r="AE87" s="80"/>
      <c r="AG87" s="80"/>
    </row>
    <row r="88" spans="1:40" ht="15" customHeight="1">
      <c r="A88" s="99"/>
      <c r="B88" s="80"/>
      <c r="C88" s="80"/>
      <c r="D88" s="80"/>
      <c r="E88" s="80"/>
      <c r="F88" s="80"/>
      <c r="G88" s="80"/>
      <c r="H88" s="80"/>
      <c r="I88" s="80"/>
      <c r="J88" s="80"/>
      <c r="K88" s="80"/>
      <c r="L88" s="80"/>
      <c r="M88" s="80"/>
      <c r="N88" s="80"/>
      <c r="O88" s="80"/>
    </row>
    <row r="89" spans="1:40" ht="15" customHeight="1">
      <c r="B89" s="80"/>
      <c r="C89" s="80"/>
      <c r="D89" s="80"/>
      <c r="E89" s="80"/>
      <c r="F89" s="80"/>
      <c r="G89" s="80"/>
      <c r="H89" s="80"/>
      <c r="I89" s="80"/>
      <c r="J89" s="80"/>
      <c r="K89" s="80"/>
      <c r="L89" s="80"/>
      <c r="M89" s="80"/>
      <c r="N89" s="80"/>
      <c r="O89" s="80"/>
    </row>
    <row r="90" spans="1:40" ht="15" customHeight="1"/>
    <row r="91" spans="1:40" ht="15" customHeight="1"/>
    <row r="92" spans="1:40" ht="15" customHeight="1"/>
  </sheetData>
  <mergeCells count="319">
    <mergeCell ref="C67:P67"/>
    <mergeCell ref="Q67:W67"/>
    <mergeCell ref="X67:AD67"/>
    <mergeCell ref="AE67:AF67"/>
    <mergeCell ref="AG67:AH67"/>
    <mergeCell ref="C68:P68"/>
    <mergeCell ref="Q68:W68"/>
    <mergeCell ref="X68:AD68"/>
    <mergeCell ref="AE68:AF68"/>
    <mergeCell ref="AG68:AH68"/>
    <mergeCell ref="C69:P69"/>
    <mergeCell ref="Q69:W69"/>
    <mergeCell ref="X69:AD69"/>
    <mergeCell ref="AE69:AF69"/>
    <mergeCell ref="AG69:AH69"/>
    <mergeCell ref="C70:P70"/>
    <mergeCell ref="Q70:W70"/>
    <mergeCell ref="X70:AD70"/>
    <mergeCell ref="AE70:AF70"/>
    <mergeCell ref="AG70:AH70"/>
    <mergeCell ref="C65:P65"/>
    <mergeCell ref="Q65:W65"/>
    <mergeCell ref="X65:AD65"/>
    <mergeCell ref="AE65:AF65"/>
    <mergeCell ref="AG65:AH65"/>
    <mergeCell ref="C66:P66"/>
    <mergeCell ref="Q66:W66"/>
    <mergeCell ref="X66:AD66"/>
    <mergeCell ref="AE66:AF66"/>
    <mergeCell ref="AG66:AH66"/>
    <mergeCell ref="AG62:AH62"/>
    <mergeCell ref="C63:P63"/>
    <mergeCell ref="Q63:W63"/>
    <mergeCell ref="X63:AD63"/>
    <mergeCell ref="AE63:AF63"/>
    <mergeCell ref="AG63:AH63"/>
    <mergeCell ref="C64:P64"/>
    <mergeCell ref="Q64:W64"/>
    <mergeCell ref="X64:AD64"/>
    <mergeCell ref="AE64:AF64"/>
    <mergeCell ref="AG64:AH64"/>
    <mergeCell ref="C77:P77"/>
    <mergeCell ref="Q77:W77"/>
    <mergeCell ref="X77:AD77"/>
    <mergeCell ref="AE77:AF77"/>
    <mergeCell ref="AG77:AH77"/>
    <mergeCell ref="C78:P78"/>
    <mergeCell ref="Q78:W78"/>
    <mergeCell ref="X78:AD78"/>
    <mergeCell ref="AE78:AF78"/>
    <mergeCell ref="AG78:AH78"/>
    <mergeCell ref="C57:P57"/>
    <mergeCell ref="Q57:W57"/>
    <mergeCell ref="X57:AD57"/>
    <mergeCell ref="AE57:AF57"/>
    <mergeCell ref="AG57:AH57"/>
    <mergeCell ref="C72:P72"/>
    <mergeCell ref="Q72:W72"/>
    <mergeCell ref="X72:AD72"/>
    <mergeCell ref="AE72:AF72"/>
    <mergeCell ref="AG72:AH72"/>
    <mergeCell ref="C58:P58"/>
    <mergeCell ref="Q58:W58"/>
    <mergeCell ref="X58:AD58"/>
    <mergeCell ref="AE58:AF58"/>
    <mergeCell ref="AG58:AH58"/>
    <mergeCell ref="C61:P61"/>
    <mergeCell ref="Q61:W61"/>
    <mergeCell ref="X61:AD61"/>
    <mergeCell ref="AE61:AF61"/>
    <mergeCell ref="AG61:AH61"/>
    <mergeCell ref="C62:P62"/>
    <mergeCell ref="Q62:W62"/>
    <mergeCell ref="X62:AD62"/>
    <mergeCell ref="AE62:AF62"/>
    <mergeCell ref="C75:P75"/>
    <mergeCell ref="Q75:W75"/>
    <mergeCell ref="X75:AD75"/>
    <mergeCell ref="AE75:AF75"/>
    <mergeCell ref="AG75:AH75"/>
    <mergeCell ref="C76:P76"/>
    <mergeCell ref="Q76:W76"/>
    <mergeCell ref="X76:AD76"/>
    <mergeCell ref="AE76:AF76"/>
    <mergeCell ref="AG76:AH76"/>
    <mergeCell ref="C73:P73"/>
    <mergeCell ref="Q73:W73"/>
    <mergeCell ref="X73:AD73"/>
    <mergeCell ref="AE73:AF73"/>
    <mergeCell ref="AG73:AH73"/>
    <mergeCell ref="C74:P74"/>
    <mergeCell ref="Q74:W74"/>
    <mergeCell ref="X74:AD74"/>
    <mergeCell ref="AE74:AF74"/>
    <mergeCell ref="AG74:AH74"/>
    <mergeCell ref="C54:P54"/>
    <mergeCell ref="Q54:W54"/>
    <mergeCell ref="X54:AD54"/>
    <mergeCell ref="AE54:AF54"/>
    <mergeCell ref="AG54:AH54"/>
    <mergeCell ref="C55:P55"/>
    <mergeCell ref="Q55:W55"/>
    <mergeCell ref="X55:AD55"/>
    <mergeCell ref="AE55:AF55"/>
    <mergeCell ref="X52:AD52"/>
    <mergeCell ref="AE52:AF52"/>
    <mergeCell ref="AG52:AH52"/>
    <mergeCell ref="C60:P60"/>
    <mergeCell ref="Q60:W60"/>
    <mergeCell ref="X60:AD60"/>
    <mergeCell ref="AE60:AF60"/>
    <mergeCell ref="AG60:AH60"/>
    <mergeCell ref="AG55:AH55"/>
    <mergeCell ref="C56:P56"/>
    <mergeCell ref="Q56:W56"/>
    <mergeCell ref="X56:AD56"/>
    <mergeCell ref="AE56:AF56"/>
    <mergeCell ref="AG56:AH56"/>
    <mergeCell ref="C53:P53"/>
    <mergeCell ref="Q53:W53"/>
    <mergeCell ref="X53:AD53"/>
    <mergeCell ref="AE53:AF53"/>
    <mergeCell ref="AG53:AH53"/>
    <mergeCell ref="C59:P59"/>
    <mergeCell ref="Q59:W59"/>
    <mergeCell ref="X59:AD59"/>
    <mergeCell ref="AE59:AF59"/>
    <mergeCell ref="AG59:AH59"/>
    <mergeCell ref="AE32:AF32"/>
    <mergeCell ref="AG32:AH32"/>
    <mergeCell ref="C51:P51"/>
    <mergeCell ref="Q51:W51"/>
    <mergeCell ref="X51:AD51"/>
    <mergeCell ref="AE51:AF51"/>
    <mergeCell ref="AG51:AH51"/>
    <mergeCell ref="C46:P46"/>
    <mergeCell ref="Q46:W46"/>
    <mergeCell ref="X46:AD46"/>
    <mergeCell ref="AE46:AF46"/>
    <mergeCell ref="AG46:AH46"/>
    <mergeCell ref="C47:P47"/>
    <mergeCell ref="Q47:W47"/>
    <mergeCell ref="X47:AD47"/>
    <mergeCell ref="AE47:AF47"/>
    <mergeCell ref="AG47:AH47"/>
    <mergeCell ref="C48:P48"/>
    <mergeCell ref="Q48:W48"/>
    <mergeCell ref="X48:AD48"/>
    <mergeCell ref="AE48:AF48"/>
    <mergeCell ref="AG48:AH48"/>
    <mergeCell ref="C49:P49"/>
    <mergeCell ref="Q49:W49"/>
    <mergeCell ref="AG45:AH45"/>
    <mergeCell ref="AE42:AF42"/>
    <mergeCell ref="AE45:AF45"/>
    <mergeCell ref="AC83:AH83"/>
    <mergeCell ref="C71:P71"/>
    <mergeCell ref="Q71:W71"/>
    <mergeCell ref="X71:AD71"/>
    <mergeCell ref="AE71:AF71"/>
    <mergeCell ref="AG71:AH71"/>
    <mergeCell ref="C50:P50"/>
    <mergeCell ref="Q50:W50"/>
    <mergeCell ref="X50:AD50"/>
    <mergeCell ref="AE50:AF50"/>
    <mergeCell ref="AG50:AH50"/>
    <mergeCell ref="C79:P79"/>
    <mergeCell ref="Q79:W79"/>
    <mergeCell ref="X79:AD79"/>
    <mergeCell ref="AE79:AF79"/>
    <mergeCell ref="AG79:AH79"/>
    <mergeCell ref="X49:AD49"/>
    <mergeCell ref="AE49:AF49"/>
    <mergeCell ref="AG49:AH49"/>
    <mergeCell ref="C52:P52"/>
    <mergeCell ref="Q52:W52"/>
    <mergeCell ref="B3:AG3"/>
    <mergeCell ref="AG36:AH36"/>
    <mergeCell ref="AG24:AH24"/>
    <mergeCell ref="AG25:AH25"/>
    <mergeCell ref="AG26:AH26"/>
    <mergeCell ref="AE24:AF24"/>
    <mergeCell ref="AE25:AF25"/>
    <mergeCell ref="AE26:AF26"/>
    <mergeCell ref="X24:AD24"/>
    <mergeCell ref="X25:AD25"/>
    <mergeCell ref="X26:AD26"/>
    <mergeCell ref="AG22:AH22"/>
    <mergeCell ref="AG23:AH23"/>
    <mergeCell ref="AE21:AF21"/>
    <mergeCell ref="AE22:AF22"/>
    <mergeCell ref="AE23:AF23"/>
    <mergeCell ref="X22:AD22"/>
    <mergeCell ref="X23:AD23"/>
    <mergeCell ref="C22:P22"/>
    <mergeCell ref="AE18:AF18"/>
    <mergeCell ref="AE19:AF19"/>
    <mergeCell ref="AE20:AF20"/>
    <mergeCell ref="X18:AD18"/>
    <mergeCell ref="X19:AD19"/>
    <mergeCell ref="X21:AA21"/>
    <mergeCell ref="AG37:AH37"/>
    <mergeCell ref="AG38:AH38"/>
    <mergeCell ref="AE36:AF36"/>
    <mergeCell ref="AE37:AF37"/>
    <mergeCell ref="AE38:AF38"/>
    <mergeCell ref="X37:AD37"/>
    <mergeCell ref="X38:AD38"/>
    <mergeCell ref="Q36:W36"/>
    <mergeCell ref="AG27:AH27"/>
    <mergeCell ref="AG31:AH31"/>
    <mergeCell ref="AE27:AF27"/>
    <mergeCell ref="AE31:AF31"/>
    <mergeCell ref="X29:AD29"/>
    <mergeCell ref="AE28:AF30"/>
    <mergeCell ref="AG28:AH30"/>
    <mergeCell ref="AG33:AH33"/>
    <mergeCell ref="AG34:AH34"/>
    <mergeCell ref="X27:AD27"/>
    <mergeCell ref="AG35:AH35"/>
    <mergeCell ref="AE33:AF33"/>
    <mergeCell ref="AE34:AF34"/>
    <mergeCell ref="AE35:AF35"/>
    <mergeCell ref="X33:AD33"/>
    <mergeCell ref="AG17:AH17"/>
    <mergeCell ref="C6:AC6"/>
    <mergeCell ref="AC11:AH11"/>
    <mergeCell ref="B12:AH13"/>
    <mergeCell ref="C14:Y14"/>
    <mergeCell ref="AB15:AH15"/>
    <mergeCell ref="AE17:AF17"/>
    <mergeCell ref="B8:AC8"/>
    <mergeCell ref="X17:AD17"/>
    <mergeCell ref="Q17:W17"/>
    <mergeCell ref="C17:P17"/>
    <mergeCell ref="B15:P16"/>
    <mergeCell ref="C18:P18"/>
    <mergeCell ref="Q18:W18"/>
    <mergeCell ref="Q19:W19"/>
    <mergeCell ref="Q20:W20"/>
    <mergeCell ref="Q21:W21"/>
    <mergeCell ref="AG18:AH18"/>
    <mergeCell ref="AG19:AH19"/>
    <mergeCell ref="AG20:AH20"/>
    <mergeCell ref="B28:B30"/>
    <mergeCell ref="X30:AD30"/>
    <mergeCell ref="C19:P19"/>
    <mergeCell ref="C20:P20"/>
    <mergeCell ref="C21:P21"/>
    <mergeCell ref="C24:P24"/>
    <mergeCell ref="C23:P23"/>
    <mergeCell ref="AB20:AD21"/>
    <mergeCell ref="Q24:W24"/>
    <mergeCell ref="Q25:W25"/>
    <mergeCell ref="Q26:W26"/>
    <mergeCell ref="Q27:W27"/>
    <mergeCell ref="Q22:W22"/>
    <mergeCell ref="Q23:W23"/>
    <mergeCell ref="AG21:AH21"/>
    <mergeCell ref="X20:AA20"/>
    <mergeCell ref="X34:AD34"/>
    <mergeCell ref="X35:AD35"/>
    <mergeCell ref="X36:AD36"/>
    <mergeCell ref="Q29:W29"/>
    <mergeCell ref="Q30:W30"/>
    <mergeCell ref="Q31:W31"/>
    <mergeCell ref="Q33:W33"/>
    <mergeCell ref="X28:AD28"/>
    <mergeCell ref="X31:AD31"/>
    <mergeCell ref="Q35:W35"/>
    <mergeCell ref="Q32:W32"/>
    <mergeCell ref="X32:AD32"/>
    <mergeCell ref="C34:P34"/>
    <mergeCell ref="C35:P35"/>
    <mergeCell ref="Q28:W28"/>
    <mergeCell ref="Q34:W34"/>
    <mergeCell ref="C36:P36"/>
    <mergeCell ref="C25:P25"/>
    <mergeCell ref="C28:P30"/>
    <mergeCell ref="C31:P31"/>
    <mergeCell ref="C33:P33"/>
    <mergeCell ref="C26:P26"/>
    <mergeCell ref="C27:P27"/>
    <mergeCell ref="C32:P32"/>
    <mergeCell ref="C37:P37"/>
    <mergeCell ref="C38:P38"/>
    <mergeCell ref="C42:P42"/>
    <mergeCell ref="C45:P45"/>
    <mergeCell ref="C41:P41"/>
    <mergeCell ref="Q41:W41"/>
    <mergeCell ref="X41:AD41"/>
    <mergeCell ref="Q42:W42"/>
    <mergeCell ref="X42:AD42"/>
    <mergeCell ref="Q45:W45"/>
    <mergeCell ref="X45:AD45"/>
    <mergeCell ref="Q38:W38"/>
    <mergeCell ref="Q37:W37"/>
    <mergeCell ref="C39:P40"/>
    <mergeCell ref="Q39:W39"/>
    <mergeCell ref="X39:AD39"/>
    <mergeCell ref="C43:P43"/>
    <mergeCell ref="Q43:W43"/>
    <mergeCell ref="B39:B40"/>
    <mergeCell ref="Q40:W40"/>
    <mergeCell ref="X40:AD40"/>
    <mergeCell ref="AE40:AF40"/>
    <mergeCell ref="C44:P44"/>
    <mergeCell ref="Q44:W44"/>
    <mergeCell ref="X44:AD44"/>
    <mergeCell ref="AE44:AF44"/>
    <mergeCell ref="AG44:AH44"/>
    <mergeCell ref="AE41:AF41"/>
    <mergeCell ref="AG41:AH41"/>
    <mergeCell ref="AG39:AH40"/>
    <mergeCell ref="X43:AD43"/>
    <mergeCell ref="AG43:AH43"/>
    <mergeCell ref="AE39:AF39"/>
    <mergeCell ref="AE43:AF43"/>
    <mergeCell ref="AG42:AH42"/>
  </mergeCells>
  <phoneticPr fontId="2"/>
  <dataValidations count="3">
    <dataValidation type="list" allowBlank="1" showInputMessage="1" sqref="AE18:AF28 AE31:AF79">
      <formula1>"✔"</formula1>
    </dataValidation>
    <dataValidation type="list" allowBlank="1" showInputMessage="1" sqref="AG18:AH28 AG31:AH39 AG41:AH79">
      <formula1>"○"</formula1>
    </dataValidation>
    <dataValidation type="list" allowBlank="1" showInputMessage="1" showErrorMessage="1" sqref="C6:AC6">
      <formula1>$AK$11:$AK$13</formula1>
    </dataValidation>
  </dataValidations>
  <pageMargins left="0.39370078740157483" right="0.19685039370078741" top="0.31496062992125984" bottom="0.31496062992125984" header="0.23622047244094491" footer="0.19685039370078741"/>
  <pageSetup paperSize="9" scale="95" orientation="portrait" r:id="rId1"/>
  <headerFooter alignWithMargins="0">
    <oddFooter>&amp;C&amp;"ＭＳ ゴシック,標準"&amp;9MinebeaMitsumiInc.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N62"/>
  <sheetViews>
    <sheetView showGridLines="0" zoomScaleNormal="100" zoomScaleSheetLayoutView="100" workbookViewId="0"/>
  </sheetViews>
  <sheetFormatPr defaultColWidth="9" defaultRowHeight="15.6"/>
  <cols>
    <col min="1" max="1" width="1.109375" style="149" customWidth="1"/>
    <col min="2" max="30" width="3.109375" style="149" customWidth="1"/>
    <col min="31" max="34" width="2.6640625" style="149" customWidth="1"/>
    <col min="35" max="35" width="1.33203125" style="149" customWidth="1"/>
    <col min="36" max="36" width="9" style="149"/>
    <col min="37" max="37" width="9" style="149" hidden="1" customWidth="1"/>
    <col min="38" max="16384" width="9" style="149"/>
  </cols>
  <sheetData>
    <row r="1" spans="2:38" ht="16.2" thickBot="1"/>
    <row r="2" spans="2:38" s="146" customFormat="1">
      <c r="B2" s="10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3"/>
      <c r="AJ2" s="3"/>
    </row>
    <row r="3" spans="2:38" s="146" customFormat="1" ht="45" customHeight="1">
      <c r="B3" s="293" t="s">
        <v>50</v>
      </c>
      <c r="C3" s="805"/>
      <c r="D3" s="805"/>
      <c r="E3" s="805"/>
      <c r="F3" s="805"/>
      <c r="G3" s="805"/>
      <c r="H3" s="805"/>
      <c r="I3" s="805"/>
      <c r="J3" s="805"/>
      <c r="K3" s="805"/>
      <c r="L3" s="805"/>
      <c r="M3" s="805"/>
      <c r="N3" s="805"/>
      <c r="O3" s="805"/>
      <c r="P3" s="805"/>
      <c r="Q3" s="805"/>
      <c r="R3" s="805"/>
      <c r="S3" s="805"/>
      <c r="T3" s="805"/>
      <c r="U3" s="805"/>
      <c r="V3" s="805"/>
      <c r="W3" s="805"/>
      <c r="X3" s="805"/>
      <c r="Y3" s="805"/>
      <c r="Z3" s="805"/>
      <c r="AA3" s="805"/>
      <c r="AB3" s="805"/>
      <c r="AC3" s="805"/>
      <c r="AD3" s="805"/>
      <c r="AE3" s="805"/>
      <c r="AF3" s="805"/>
      <c r="AG3" s="805"/>
      <c r="AH3" s="105"/>
      <c r="AJ3" s="3"/>
    </row>
    <row r="4" spans="2:38" s="146" customFormat="1" ht="14.25" customHeight="1">
      <c r="B4" s="11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05"/>
      <c r="AJ4" s="3"/>
    </row>
    <row r="5" spans="2:38" s="78" customFormat="1" ht="16.2" thickBot="1">
      <c r="B5" s="116" t="s">
        <v>39</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8"/>
    </row>
    <row r="6" spans="2:38" s="78" customFormat="1" ht="16.2" thickBot="1">
      <c r="B6" s="116"/>
      <c r="C6" s="781" t="s">
        <v>32</v>
      </c>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3"/>
      <c r="AD6" s="117"/>
      <c r="AE6" s="117"/>
      <c r="AF6" s="117"/>
      <c r="AG6" s="117"/>
      <c r="AH6" s="118"/>
      <c r="AL6" s="76"/>
    </row>
    <row r="7" spans="2:38" s="78" customFormat="1">
      <c r="B7" s="116"/>
      <c r="C7" s="117"/>
      <c r="D7" s="117"/>
      <c r="E7" s="117"/>
      <c r="F7" s="117"/>
      <c r="G7" s="117"/>
      <c r="H7" s="7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8"/>
    </row>
    <row r="8" spans="2:38" s="78" customFormat="1" ht="35.1" customHeight="1">
      <c r="B8" s="793" t="str">
        <f>IF(C6="English","２、MinebeaMitsumi Group entered  ✔ for survey target substances.
        Warranty that it is not used for substances in which ✔ is entered. ",IF(C6="中文","２、请在美蓓亚三美集团的调查对象物质处打✔。             
        打✔的物质，请保证没有使用。","２、ミネベアミツミグループで調査対象物質に  ✔  を付けております。
        ✔の付いている物質について使用していないことを保証下さい。"))</f>
        <v>２、ミネベアミツミグループで調査対象物質に  ✔  を付けております。
        ✔の付いている物質について使用していないことを保証下さい。</v>
      </c>
      <c r="C8" s="794"/>
      <c r="D8" s="794"/>
      <c r="E8" s="794"/>
      <c r="F8" s="794"/>
      <c r="G8" s="794"/>
      <c r="H8" s="794"/>
      <c r="I8" s="794"/>
      <c r="J8" s="794"/>
      <c r="K8" s="794"/>
      <c r="L8" s="794"/>
      <c r="M8" s="794"/>
      <c r="N8" s="794"/>
      <c r="O8" s="794"/>
      <c r="P8" s="794"/>
      <c r="Q8" s="794"/>
      <c r="R8" s="794"/>
      <c r="S8" s="794"/>
      <c r="T8" s="794"/>
      <c r="U8" s="794"/>
      <c r="V8" s="794"/>
      <c r="W8" s="794"/>
      <c r="X8" s="794"/>
      <c r="Y8" s="794"/>
      <c r="Z8" s="794"/>
      <c r="AA8" s="794"/>
      <c r="AB8" s="794"/>
      <c r="AC8" s="794"/>
      <c r="AD8" s="117"/>
      <c r="AE8" s="117"/>
      <c r="AF8" s="117"/>
      <c r="AG8" s="117"/>
      <c r="AH8" s="118"/>
    </row>
    <row r="9" spans="2:38" s="78" customFormat="1" ht="16.2" thickBot="1">
      <c r="B9" s="119"/>
      <c r="C9" s="120"/>
      <c r="D9" s="120"/>
      <c r="E9" s="120"/>
      <c r="F9" s="120"/>
      <c r="G9" s="120"/>
      <c r="H9" s="121"/>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2"/>
    </row>
    <row r="10" spans="2:38" s="78" customFormat="1">
      <c r="B10" s="117"/>
      <c r="C10" s="117"/>
      <c r="D10" s="117"/>
      <c r="E10" s="117"/>
      <c r="F10" s="117"/>
      <c r="G10" s="117"/>
      <c r="H10" s="7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row>
    <row r="11" spans="2:38" ht="5.0999999999999996" customHeight="1">
      <c r="AC11" s="784"/>
      <c r="AD11" s="784"/>
      <c r="AE11" s="784"/>
      <c r="AF11" s="784"/>
      <c r="AG11" s="784"/>
      <c r="AH11" s="785"/>
      <c r="AK11" s="86" t="s">
        <v>32</v>
      </c>
    </row>
    <row r="12" spans="2:38" ht="10.050000000000001" customHeight="1">
      <c r="B12" s="786" t="str">
        <f>IF(C6="English","Appendix 1  Prohibited substances required by customer list",IF(C6="中文","附件纸 1  顾客 要求 禁用物质一览表","別紙1 顧客要求禁止物質リスト"))</f>
        <v>別紙1 顧客要求禁止物質リスト</v>
      </c>
      <c r="C12" s="787"/>
      <c r="D12" s="787"/>
      <c r="E12" s="787"/>
      <c r="F12" s="787"/>
      <c r="G12" s="787"/>
      <c r="H12" s="787"/>
      <c r="I12" s="787"/>
      <c r="J12" s="787"/>
      <c r="K12" s="787"/>
      <c r="L12" s="787"/>
      <c r="M12" s="787"/>
      <c r="N12" s="787"/>
      <c r="O12" s="787"/>
      <c r="P12" s="787"/>
      <c r="Q12" s="787"/>
      <c r="R12" s="787"/>
      <c r="S12" s="787"/>
      <c r="T12" s="787"/>
      <c r="U12" s="787"/>
      <c r="V12" s="787"/>
      <c r="W12" s="787"/>
      <c r="X12" s="787"/>
      <c r="Y12" s="787"/>
      <c r="Z12" s="787"/>
      <c r="AA12" s="787"/>
      <c r="AB12" s="787"/>
      <c r="AC12" s="787"/>
      <c r="AD12" s="787"/>
      <c r="AE12" s="787"/>
      <c r="AF12" s="787"/>
      <c r="AG12" s="787"/>
      <c r="AH12" s="787"/>
      <c r="AK12" s="86" t="s">
        <v>31</v>
      </c>
    </row>
    <row r="13" spans="2:38" ht="10.050000000000001" customHeight="1">
      <c r="B13" s="787"/>
      <c r="C13" s="787"/>
      <c r="D13" s="787"/>
      <c r="E13" s="787"/>
      <c r="F13" s="787"/>
      <c r="G13" s="787"/>
      <c r="H13" s="787"/>
      <c r="I13" s="787"/>
      <c r="J13" s="787"/>
      <c r="K13" s="787"/>
      <c r="L13" s="787"/>
      <c r="M13" s="787"/>
      <c r="N13" s="787"/>
      <c r="O13" s="787"/>
      <c r="P13" s="787"/>
      <c r="Q13" s="787"/>
      <c r="R13" s="787"/>
      <c r="S13" s="787"/>
      <c r="T13" s="787"/>
      <c r="U13" s="787"/>
      <c r="V13" s="787"/>
      <c r="W13" s="787"/>
      <c r="X13" s="787"/>
      <c r="Y13" s="787"/>
      <c r="Z13" s="787"/>
      <c r="AA13" s="787"/>
      <c r="AB13" s="787"/>
      <c r="AC13" s="787"/>
      <c r="AD13" s="787"/>
      <c r="AE13" s="787"/>
      <c r="AF13" s="787"/>
      <c r="AG13" s="787"/>
      <c r="AH13" s="787"/>
      <c r="AK13" s="86" t="s">
        <v>33</v>
      </c>
    </row>
    <row r="14" spans="2:38" ht="15" customHeight="1">
      <c r="C14" s="788"/>
      <c r="D14" s="789"/>
      <c r="E14" s="789"/>
      <c r="F14" s="789"/>
      <c r="G14" s="789"/>
      <c r="H14" s="789"/>
      <c r="I14" s="789"/>
      <c r="J14" s="789"/>
      <c r="K14" s="789"/>
      <c r="L14" s="789"/>
      <c r="M14" s="789"/>
      <c r="N14" s="789"/>
      <c r="O14" s="789"/>
      <c r="P14" s="789"/>
      <c r="Q14" s="789"/>
      <c r="R14" s="789"/>
      <c r="S14" s="789"/>
      <c r="T14" s="789"/>
      <c r="U14" s="789"/>
      <c r="V14" s="789"/>
      <c r="W14" s="789"/>
      <c r="X14" s="789"/>
      <c r="Y14" s="789"/>
      <c r="Z14" s="150"/>
      <c r="AA14" s="150"/>
      <c r="AB14" s="87" t="str">
        <f>IF(C6="English","Document No.:",IF(C6="中文","资料 No.:","資料No.:"))</f>
        <v>資料No.:</v>
      </c>
      <c r="AD14" s="88"/>
      <c r="AE14" s="88"/>
      <c r="AF14" s="89"/>
      <c r="AG14" s="88"/>
      <c r="AH14" s="89"/>
    </row>
    <row r="15" spans="2:38">
      <c r="B15" s="798" t="str">
        <f>IF(C6="English","Please enter ○ in the check column in the case of conformity.",IF(C6="中文","符合时请在确认栏填写〇。","＊適合の場合はチェック欄に○を記入ください。"))</f>
        <v>＊適合の場合はチェック欄に○を記入ください。</v>
      </c>
      <c r="C15" s="799"/>
      <c r="D15" s="799"/>
      <c r="E15" s="799"/>
      <c r="F15" s="799"/>
      <c r="G15" s="799"/>
      <c r="H15" s="799"/>
      <c r="I15" s="799"/>
      <c r="J15" s="799"/>
      <c r="K15" s="799"/>
      <c r="L15" s="799"/>
      <c r="M15" s="799"/>
      <c r="N15" s="799"/>
      <c r="O15" s="799"/>
      <c r="P15" s="799"/>
      <c r="AB15" s="790"/>
      <c r="AC15" s="791"/>
      <c r="AD15" s="791"/>
      <c r="AE15" s="791"/>
      <c r="AF15" s="791"/>
      <c r="AG15" s="791"/>
      <c r="AH15" s="791"/>
    </row>
    <row r="16" spans="2:38" ht="10.050000000000001" customHeight="1">
      <c r="B16" s="800"/>
      <c r="C16" s="800"/>
      <c r="D16" s="800"/>
      <c r="E16" s="800"/>
      <c r="F16" s="800"/>
      <c r="G16" s="800"/>
      <c r="H16" s="800"/>
      <c r="I16" s="800"/>
      <c r="J16" s="800"/>
      <c r="K16" s="800"/>
      <c r="L16" s="800"/>
      <c r="M16" s="800"/>
      <c r="N16" s="800"/>
      <c r="O16" s="800"/>
      <c r="P16" s="800"/>
      <c r="Q16" s="77"/>
      <c r="R16" s="77"/>
      <c r="S16" s="77"/>
      <c r="T16" s="76"/>
      <c r="U16" s="76"/>
      <c r="V16" s="76"/>
      <c r="W16" s="77"/>
      <c r="X16" s="77"/>
      <c r="Y16" s="74"/>
      <c r="Z16" s="74"/>
      <c r="AA16" s="74"/>
      <c r="AB16" s="73"/>
      <c r="AC16" s="76"/>
      <c r="AD16" s="76"/>
      <c r="AE16" s="76"/>
      <c r="AF16" s="76"/>
      <c r="AG16" s="76"/>
      <c r="AH16" s="76"/>
    </row>
    <row r="17" spans="2:38" ht="25.05" customHeight="1">
      <c r="B17" s="147" t="s">
        <v>37</v>
      </c>
      <c r="C17" s="771" t="str">
        <f>IF(C6="English","Substance name",IF(C6="中文","物质名称","物質名"))</f>
        <v>物質名</v>
      </c>
      <c r="D17" s="796"/>
      <c r="E17" s="796"/>
      <c r="F17" s="796"/>
      <c r="G17" s="796"/>
      <c r="H17" s="796"/>
      <c r="I17" s="796"/>
      <c r="J17" s="796"/>
      <c r="K17" s="796"/>
      <c r="L17" s="796"/>
      <c r="M17" s="796"/>
      <c r="N17" s="796"/>
      <c r="O17" s="796"/>
      <c r="P17" s="797"/>
      <c r="Q17" s="795" t="str">
        <f>IF(C6="English","Substance name",IF(C6="中文","限制对象","規制対象"))</f>
        <v>規制対象</v>
      </c>
      <c r="R17" s="795"/>
      <c r="S17" s="795"/>
      <c r="T17" s="750"/>
      <c r="U17" s="750"/>
      <c r="V17" s="750"/>
      <c r="W17" s="750"/>
      <c r="X17" s="749" t="str">
        <f>IF(C6="English","Substance name",IF(C6="中文","限制值
（单位；ppm）","規制値
（単位；ppm）"))</f>
        <v>規制値
（単位；ppm）</v>
      </c>
      <c r="Y17" s="753"/>
      <c r="Z17" s="753"/>
      <c r="AA17" s="753"/>
      <c r="AB17" s="753"/>
      <c r="AC17" s="753"/>
      <c r="AD17" s="753"/>
      <c r="AE17" s="792" t="str">
        <f>IF(C6="English","Survey Target",IF(C6="中文","调查
对象","調査
対象"))</f>
        <v>調査
対象</v>
      </c>
      <c r="AF17" s="774"/>
      <c r="AG17" s="759" t="str">
        <f>IF(C6="English","Check",IF(C6="中文","检查栏","チェック欄"))</f>
        <v>チェック欄</v>
      </c>
      <c r="AH17" s="780"/>
    </row>
    <row r="18" spans="2:38" ht="20.100000000000001" customHeight="1">
      <c r="B18" s="147">
        <v>1</v>
      </c>
      <c r="C18" s="759" t="str">
        <f>IF(C6="English","Natural rubber",IF(C6="中文","天然橡胶","天然ゴム"))</f>
        <v>天然ゴム</v>
      </c>
      <c r="D18" s="760"/>
      <c r="E18" s="760"/>
      <c r="F18" s="760"/>
      <c r="G18" s="760"/>
      <c r="H18" s="760"/>
      <c r="I18" s="760"/>
      <c r="J18" s="760"/>
      <c r="K18" s="760"/>
      <c r="L18" s="760"/>
      <c r="M18" s="760"/>
      <c r="N18" s="760"/>
      <c r="O18" s="760"/>
      <c r="P18" s="760"/>
      <c r="Q18" s="749" t="str">
        <f>IF(C6="English","All uses",IF(C6="中文","所有用途","全ての用途"))</f>
        <v>全ての用途</v>
      </c>
      <c r="R18" s="749"/>
      <c r="S18" s="749"/>
      <c r="T18" s="750"/>
      <c r="U18" s="750"/>
      <c r="V18" s="750"/>
      <c r="W18" s="750"/>
      <c r="X18" s="749" t="str">
        <f>IF(C6="English","Intentionally added",IF(C6="中文","禁止有意添加","意図的添加禁止"))</f>
        <v>意図的添加禁止</v>
      </c>
      <c r="Y18" s="753"/>
      <c r="Z18" s="753"/>
      <c r="AA18" s="753"/>
      <c r="AB18" s="753"/>
      <c r="AC18" s="753"/>
      <c r="AD18" s="753"/>
      <c r="AE18" s="399" t="s">
        <v>38</v>
      </c>
      <c r="AF18" s="399"/>
      <c r="AG18" s="754"/>
      <c r="AH18" s="754"/>
    </row>
    <row r="19" spans="2:38" ht="20.100000000000001" customHeight="1">
      <c r="B19" s="147">
        <v>2</v>
      </c>
      <c r="C19" s="771" t="str">
        <f>IF(C6="English","Phthalate 14 substances",IF(C6="中文","邻苯二甲酸酯　14物质","フタル酸エステル 14物質"))</f>
        <v>フタル酸エステル 14物質</v>
      </c>
      <c r="D19" s="772"/>
      <c r="E19" s="772"/>
      <c r="F19" s="772"/>
      <c r="G19" s="772"/>
      <c r="H19" s="772"/>
      <c r="I19" s="772"/>
      <c r="J19" s="772"/>
      <c r="K19" s="772"/>
      <c r="L19" s="772"/>
      <c r="M19" s="772"/>
      <c r="N19" s="772"/>
      <c r="O19" s="772"/>
      <c r="P19" s="773"/>
      <c r="Q19" s="749" t="str">
        <f>IF(C6="English","All uses",IF(C6="中文","所有用途","全ての用途"))</f>
        <v>全ての用途</v>
      </c>
      <c r="R19" s="749"/>
      <c r="S19" s="749"/>
      <c r="T19" s="750"/>
      <c r="U19" s="750"/>
      <c r="V19" s="750"/>
      <c r="W19" s="750"/>
      <c r="X19" s="749" t="str">
        <f>IF(C6="English","In total; 1,000",IF(C6="中文","总量1,000","合計1,000"))</f>
        <v>合計1,000</v>
      </c>
      <c r="Y19" s="753"/>
      <c r="Z19" s="753"/>
      <c r="AA19" s="753"/>
      <c r="AB19" s="753"/>
      <c r="AC19" s="753"/>
      <c r="AD19" s="753"/>
      <c r="AE19" s="399" t="s">
        <v>38</v>
      </c>
      <c r="AF19" s="399"/>
      <c r="AG19" s="754"/>
      <c r="AH19" s="754"/>
    </row>
    <row r="20" spans="2:38" ht="20.100000000000001" customHeight="1">
      <c r="B20" s="125">
        <v>3</v>
      </c>
      <c r="C20" s="771" t="str">
        <f>IF(C6="English","Bromine（including Brominated flame retardants (BFRs)）",IF(C6="中文","臭素（包括溴系阻燃剂）","臭素（臭素系難燃剤を含む）"))</f>
        <v>臭素（臭素系難燃剤を含む）</v>
      </c>
      <c r="D20" s="772"/>
      <c r="E20" s="772"/>
      <c r="F20" s="772"/>
      <c r="G20" s="772"/>
      <c r="H20" s="772"/>
      <c r="I20" s="772"/>
      <c r="J20" s="772"/>
      <c r="K20" s="772"/>
      <c r="L20" s="772"/>
      <c r="M20" s="772"/>
      <c r="N20" s="772"/>
      <c r="O20" s="772"/>
      <c r="P20" s="773"/>
      <c r="Q20" s="749" t="str">
        <f>IF(C6="English","All uses",IF(C6="中文","所有用途","全ての用途"))</f>
        <v>全ての用途</v>
      </c>
      <c r="R20" s="749"/>
      <c r="S20" s="749"/>
      <c r="T20" s="750"/>
      <c r="U20" s="750"/>
      <c r="V20" s="750"/>
      <c r="W20" s="750"/>
      <c r="X20" s="777">
        <v>900</v>
      </c>
      <c r="Y20" s="778"/>
      <c r="Z20" s="778"/>
      <c r="AA20" s="779"/>
      <c r="AB20" s="775" t="str">
        <f>IF(C6="English","Br + Cl ;
1,500",IF(C6="中文","溴+氯；
1,500","臭素+塩素；
1,500"))</f>
        <v>臭素+塩素；
1,500</v>
      </c>
      <c r="AC20" s="776"/>
      <c r="AD20" s="776"/>
      <c r="AE20" s="399" t="s">
        <v>38</v>
      </c>
      <c r="AF20" s="399"/>
      <c r="AG20" s="754"/>
      <c r="AH20" s="754"/>
    </row>
    <row r="21" spans="2:38" ht="20.100000000000001" customHeight="1">
      <c r="B21" s="147">
        <v>4</v>
      </c>
      <c r="C21" s="771" t="str">
        <f>IF(C6="English","Chlorine (including Chlorinated flame retardants(CFRs)）",IF(C6="中文","塩素（包括氯系阻燃剂）","塩素（塩素系難燃剤を含む）"))</f>
        <v>塩素（塩素系難燃剤を含む）</v>
      </c>
      <c r="D21" s="772"/>
      <c r="E21" s="772"/>
      <c r="F21" s="772"/>
      <c r="G21" s="772"/>
      <c r="H21" s="772"/>
      <c r="I21" s="772"/>
      <c r="J21" s="772"/>
      <c r="K21" s="772"/>
      <c r="L21" s="772"/>
      <c r="M21" s="772"/>
      <c r="N21" s="772"/>
      <c r="O21" s="772"/>
      <c r="P21" s="773"/>
      <c r="Q21" s="749" t="str">
        <f>IF(C6="English","All uses",IF(C6="中文","所有用途","全ての用途"))</f>
        <v>全ての用途</v>
      </c>
      <c r="R21" s="749"/>
      <c r="S21" s="749"/>
      <c r="T21" s="750"/>
      <c r="U21" s="750"/>
      <c r="V21" s="750"/>
      <c r="W21" s="750"/>
      <c r="X21" s="777">
        <v>900</v>
      </c>
      <c r="Y21" s="778"/>
      <c r="Z21" s="778"/>
      <c r="AA21" s="779"/>
      <c r="AB21" s="776"/>
      <c r="AC21" s="776"/>
      <c r="AD21" s="776"/>
      <c r="AE21" s="399" t="s">
        <v>38</v>
      </c>
      <c r="AF21" s="399"/>
      <c r="AG21" s="754"/>
      <c r="AH21" s="754"/>
    </row>
    <row r="22" spans="2:38" ht="20.100000000000001" customHeight="1">
      <c r="B22" s="147">
        <v>5</v>
      </c>
      <c r="C22" s="759" t="str">
        <f>IF(C6="English","Antimony and its compounds（including Diantimony trioxide）",IF(C6="中文","锑及其化合物（包括三氧化二锑）","アンチモンおよびその化合物（三酸化ニアンチモンを含む）"))</f>
        <v>アンチモンおよびその化合物（三酸化ニアンチモンを含む）</v>
      </c>
      <c r="D22" s="760"/>
      <c r="E22" s="760"/>
      <c r="F22" s="760"/>
      <c r="G22" s="760"/>
      <c r="H22" s="760"/>
      <c r="I22" s="760"/>
      <c r="J22" s="760"/>
      <c r="K22" s="760"/>
      <c r="L22" s="760"/>
      <c r="M22" s="760"/>
      <c r="N22" s="760"/>
      <c r="O22" s="760"/>
      <c r="P22" s="760"/>
      <c r="Q22" s="749" t="str">
        <f>IF(C6="English","All uses",IF(C6="中文","所有用途","全ての用途"))</f>
        <v>全ての用途</v>
      </c>
      <c r="R22" s="749"/>
      <c r="S22" s="749"/>
      <c r="T22" s="750"/>
      <c r="U22" s="750"/>
      <c r="V22" s="750"/>
      <c r="W22" s="750"/>
      <c r="X22" s="748">
        <v>1000</v>
      </c>
      <c r="Y22" s="753"/>
      <c r="Z22" s="753"/>
      <c r="AA22" s="753"/>
      <c r="AB22" s="753"/>
      <c r="AC22" s="753"/>
      <c r="AD22" s="753"/>
      <c r="AE22" s="399" t="s">
        <v>38</v>
      </c>
      <c r="AF22" s="399"/>
      <c r="AG22" s="754"/>
      <c r="AH22" s="754"/>
      <c r="AL22" s="90"/>
    </row>
    <row r="23" spans="2:38" ht="20.100000000000001" customHeight="1">
      <c r="B23" s="147">
        <v>6</v>
      </c>
      <c r="C23" s="759" t="str">
        <f>IF(C6="English","TBBP-A　(CAS RN 79-94-7)",IF(C6="中文","TBBP-A　(CAS RN 79-94-7)","TBBP-A　(CAS RN 79-94-7)"))</f>
        <v>TBBP-A　(CAS RN 79-94-7)</v>
      </c>
      <c r="D23" s="760"/>
      <c r="E23" s="760"/>
      <c r="F23" s="760"/>
      <c r="G23" s="760"/>
      <c r="H23" s="760"/>
      <c r="I23" s="760"/>
      <c r="J23" s="760"/>
      <c r="K23" s="760"/>
      <c r="L23" s="760"/>
      <c r="M23" s="760"/>
      <c r="N23" s="760"/>
      <c r="O23" s="760"/>
      <c r="P23" s="760"/>
      <c r="Q23" s="749" t="str">
        <f>IF(C6="English","All uses",IF(C6="中文","所有用途","全ての用途"))</f>
        <v>全ての用途</v>
      </c>
      <c r="R23" s="749"/>
      <c r="S23" s="749"/>
      <c r="T23" s="750"/>
      <c r="U23" s="750"/>
      <c r="V23" s="750"/>
      <c r="W23" s="750"/>
      <c r="X23" s="748">
        <v>1000</v>
      </c>
      <c r="Y23" s="753"/>
      <c r="Z23" s="753"/>
      <c r="AA23" s="753"/>
      <c r="AB23" s="753"/>
      <c r="AC23" s="753"/>
      <c r="AD23" s="753"/>
      <c r="AE23" s="399" t="s">
        <v>38</v>
      </c>
      <c r="AF23" s="399"/>
      <c r="AG23" s="754"/>
      <c r="AH23" s="754"/>
    </row>
    <row r="24" spans="2:38" ht="20.100000000000001" customHeight="1">
      <c r="B24" s="147">
        <v>7</v>
      </c>
      <c r="C24" s="771" t="str">
        <f>IF(C6="English","Beryllium and its compounds",IF(C6="中文","铍及其化合物","ベリリウムおよびその化合物"))</f>
        <v>ベリリウムおよびその化合物</v>
      </c>
      <c r="D24" s="772"/>
      <c r="E24" s="772"/>
      <c r="F24" s="772"/>
      <c r="G24" s="772"/>
      <c r="H24" s="772"/>
      <c r="I24" s="772"/>
      <c r="J24" s="772"/>
      <c r="K24" s="772"/>
      <c r="L24" s="772"/>
      <c r="M24" s="772"/>
      <c r="N24" s="772"/>
      <c r="O24" s="772"/>
      <c r="P24" s="773"/>
      <c r="Q24" s="749" t="str">
        <f>IF(C6="English","All uses",IF(C6="中文","所有用途","全ての用途"))</f>
        <v>全ての用途</v>
      </c>
      <c r="R24" s="749"/>
      <c r="S24" s="749"/>
      <c r="T24" s="750"/>
      <c r="U24" s="750"/>
      <c r="V24" s="750"/>
      <c r="W24" s="750"/>
      <c r="X24" s="749" t="str">
        <f>IF(C6="English","Intentionally added or 1,000",IF(C6="中文","禁止有意添加且限制值为1,000","意図的添加禁止且つ1,000"))</f>
        <v>意図的添加禁止且つ1,000</v>
      </c>
      <c r="Y24" s="753"/>
      <c r="Z24" s="753"/>
      <c r="AA24" s="753"/>
      <c r="AB24" s="753"/>
      <c r="AC24" s="753"/>
      <c r="AD24" s="753"/>
      <c r="AE24" s="399" t="s">
        <v>38</v>
      </c>
      <c r="AF24" s="399"/>
      <c r="AG24" s="754"/>
      <c r="AH24" s="754"/>
    </row>
    <row r="25" spans="2:38" ht="30" customHeight="1">
      <c r="B25" s="126">
        <v>8</v>
      </c>
      <c r="C25" s="759" t="str">
        <f>IF(C6="English","PVC；Polyvinyl chloride and its mixtures (Including copolymers)
(CAS RN 9002-86-2, and others)",IF(C6="中文","PVC；聚氯乙烯及其混合物(包括共聚物)
(CAS RN 9002-86-2 他)","PVC；ポリ塩化ビニルおよびその混合物(コポリマー含む)
(CAS RN 9002-86-2 他)"))</f>
        <v>PVC；ポリ塩化ビニルおよびその混合物(コポリマー含む)
(CAS RN 9002-86-2 他)</v>
      </c>
      <c r="D25" s="761"/>
      <c r="E25" s="761"/>
      <c r="F25" s="761"/>
      <c r="G25" s="761"/>
      <c r="H25" s="761"/>
      <c r="I25" s="761"/>
      <c r="J25" s="761"/>
      <c r="K25" s="761"/>
      <c r="L25" s="761"/>
      <c r="M25" s="761"/>
      <c r="N25" s="761"/>
      <c r="O25" s="761"/>
      <c r="P25" s="761"/>
      <c r="Q25" s="749" t="str">
        <f>IF(C6="English","All uses",IF(C6="中文","所有用途","全ての用途"))</f>
        <v>全ての用途</v>
      </c>
      <c r="R25" s="749"/>
      <c r="S25" s="749"/>
      <c r="T25" s="750"/>
      <c r="U25" s="750"/>
      <c r="V25" s="750"/>
      <c r="W25" s="750"/>
      <c r="X25" s="749" t="str">
        <f>IF(C6="English","Intentionally added",IF(C6="中文","禁止有意添加","意図的添加禁止"))</f>
        <v>意図的添加禁止</v>
      </c>
      <c r="Y25" s="753"/>
      <c r="Z25" s="753"/>
      <c r="AA25" s="753"/>
      <c r="AB25" s="753"/>
      <c r="AC25" s="753"/>
      <c r="AD25" s="753"/>
      <c r="AE25" s="399" t="s">
        <v>38</v>
      </c>
      <c r="AF25" s="399"/>
      <c r="AG25" s="754"/>
      <c r="AH25" s="754"/>
    </row>
    <row r="26" spans="2:38" ht="20.100000000000001" customHeight="1">
      <c r="B26" s="147">
        <v>9</v>
      </c>
      <c r="C26" s="771" t="str">
        <f>IF(C6="English","Organotin 9 compounds",IF(C6="中文","有机锡　9化合物","有機スズ  9 化合物"))</f>
        <v>有機スズ  9 化合物</v>
      </c>
      <c r="D26" s="772"/>
      <c r="E26" s="772"/>
      <c r="F26" s="772"/>
      <c r="G26" s="772"/>
      <c r="H26" s="772"/>
      <c r="I26" s="772"/>
      <c r="J26" s="772"/>
      <c r="K26" s="772"/>
      <c r="L26" s="772"/>
      <c r="M26" s="772"/>
      <c r="N26" s="772"/>
      <c r="O26" s="772"/>
      <c r="P26" s="773"/>
      <c r="Q26" s="749" t="str">
        <f>IF(C6="English","All uses",IF(C6="中文","所有用途","全ての用途"))</f>
        <v>全ての用途</v>
      </c>
      <c r="R26" s="749"/>
      <c r="S26" s="749"/>
      <c r="T26" s="750"/>
      <c r="U26" s="750"/>
      <c r="V26" s="750"/>
      <c r="W26" s="750"/>
      <c r="X26" s="749" t="str">
        <f>IF(C6="English","In total; 1,000",IF(C6="中文","总量1,000","合計1,000"))</f>
        <v>合計1,000</v>
      </c>
      <c r="Y26" s="753"/>
      <c r="Z26" s="753"/>
      <c r="AA26" s="753"/>
      <c r="AB26" s="753"/>
      <c r="AC26" s="753"/>
      <c r="AD26" s="753"/>
      <c r="AE26" s="399" t="s">
        <v>38</v>
      </c>
      <c r="AF26" s="399"/>
      <c r="AG26" s="754"/>
      <c r="AH26" s="754"/>
    </row>
    <row r="27" spans="2:38" ht="40.049999999999997" customHeight="1">
      <c r="B27" s="147">
        <v>10</v>
      </c>
      <c r="C27" s="771" t="str">
        <f>IF(C6="English","Arsenic and its compounds",IF(C6="中文","砷及其化合物","ヒ素およびその化合物"))</f>
        <v>ヒ素およびその化合物</v>
      </c>
      <c r="D27" s="772"/>
      <c r="E27" s="772"/>
      <c r="F27" s="772"/>
      <c r="G27" s="772"/>
      <c r="H27" s="772"/>
      <c r="I27" s="772"/>
      <c r="J27" s="772"/>
      <c r="K27" s="772"/>
      <c r="L27" s="772"/>
      <c r="M27" s="772"/>
      <c r="N27" s="772"/>
      <c r="O27" s="772"/>
      <c r="P27" s="773"/>
      <c r="Q27" s="749" t="str">
        <f>IF(C6="English","All uses Exemption; 
dopant used for manufacturing semiconductor devices",IF(C6="中文","所有用途＜适用豁免＞
为生产半导体器件而掺杂","全ての用途＜適用除外＞
半導体デバイスを製造するためのドーパント"))</f>
        <v>全ての用途＜適用除外＞
半導体デバイスを製造するためのドーパント</v>
      </c>
      <c r="R27" s="749"/>
      <c r="S27" s="749"/>
      <c r="T27" s="750"/>
      <c r="U27" s="750"/>
      <c r="V27" s="750"/>
      <c r="W27" s="750"/>
      <c r="X27" s="749" t="str">
        <f>IF(C6="English","Intentionally added",IF(C6="中文","禁止有意添加","意図的添加禁止"))</f>
        <v>意図的添加禁止</v>
      </c>
      <c r="Y27" s="753"/>
      <c r="Z27" s="753"/>
      <c r="AA27" s="753"/>
      <c r="AB27" s="753"/>
      <c r="AC27" s="753"/>
      <c r="AD27" s="753"/>
      <c r="AE27" s="399" t="s">
        <v>38</v>
      </c>
      <c r="AF27" s="399"/>
      <c r="AG27" s="754"/>
      <c r="AH27" s="754"/>
    </row>
    <row r="28" spans="2:38" ht="15" customHeight="1">
      <c r="B28" s="774">
        <v>11</v>
      </c>
      <c r="C28" s="759" t="str">
        <f>IF(C6="English","Bisphenol A　(CAS RN 80-05-7)　",IF(C6="中文","双酚A　(CAS RN 80-05-7)","ビスフェノールA　(CAS RN 80-05-7)"))</f>
        <v>ビスフェノールA　(CAS RN 80-05-7)</v>
      </c>
      <c r="D28" s="760"/>
      <c r="E28" s="760"/>
      <c r="F28" s="760"/>
      <c r="G28" s="760"/>
      <c r="H28" s="760"/>
      <c r="I28" s="760"/>
      <c r="J28" s="760"/>
      <c r="K28" s="760"/>
      <c r="L28" s="760"/>
      <c r="M28" s="760"/>
      <c r="N28" s="760"/>
      <c r="O28" s="760"/>
      <c r="P28" s="760"/>
      <c r="Q28" s="749" t="str">
        <f>IF(C6="English","Polycarbonate",IF(C6="中文","聚碳酸酯","ポリカーボネート"))</f>
        <v>ポリカーボネート</v>
      </c>
      <c r="R28" s="749"/>
      <c r="S28" s="749"/>
      <c r="T28" s="750"/>
      <c r="U28" s="750"/>
      <c r="V28" s="750"/>
      <c r="W28" s="750"/>
      <c r="X28" s="749">
        <v>250</v>
      </c>
      <c r="Y28" s="753"/>
      <c r="Z28" s="753"/>
      <c r="AA28" s="753"/>
      <c r="AB28" s="753"/>
      <c r="AC28" s="753"/>
      <c r="AD28" s="753"/>
      <c r="AE28" s="801" t="s">
        <v>38</v>
      </c>
      <c r="AF28" s="802"/>
      <c r="AG28" s="755"/>
      <c r="AH28" s="756"/>
    </row>
    <row r="29" spans="2:38" ht="15" customHeight="1">
      <c r="B29" s="750"/>
      <c r="C29" s="760"/>
      <c r="D29" s="760"/>
      <c r="E29" s="760"/>
      <c r="F29" s="760"/>
      <c r="G29" s="760"/>
      <c r="H29" s="760"/>
      <c r="I29" s="760"/>
      <c r="J29" s="760"/>
      <c r="K29" s="760"/>
      <c r="L29" s="760"/>
      <c r="M29" s="760"/>
      <c r="N29" s="760"/>
      <c r="O29" s="760"/>
      <c r="P29" s="760"/>
      <c r="Q29" s="749" t="str">
        <f>IF(C6="English","Resin except Polycarbonate",IF(C6="中文","聚碳酸酯以外的树脂","ポリカーボネート以外の樹脂"))</f>
        <v>ポリカーボネート以外の樹脂</v>
      </c>
      <c r="R29" s="749"/>
      <c r="S29" s="749"/>
      <c r="T29" s="750"/>
      <c r="U29" s="750"/>
      <c r="V29" s="750"/>
      <c r="W29" s="750"/>
      <c r="X29" s="749">
        <v>50</v>
      </c>
      <c r="Y29" s="753"/>
      <c r="Z29" s="753"/>
      <c r="AA29" s="753"/>
      <c r="AB29" s="753"/>
      <c r="AC29" s="753"/>
      <c r="AD29" s="753"/>
      <c r="AE29" s="803"/>
      <c r="AF29" s="804"/>
      <c r="AG29" s="803"/>
      <c r="AH29" s="804"/>
    </row>
    <row r="30" spans="2:38" ht="15" customHeight="1">
      <c r="B30" s="750"/>
      <c r="C30" s="760"/>
      <c r="D30" s="760"/>
      <c r="E30" s="760"/>
      <c r="F30" s="760"/>
      <c r="G30" s="760"/>
      <c r="H30" s="760"/>
      <c r="I30" s="760"/>
      <c r="J30" s="760"/>
      <c r="K30" s="760"/>
      <c r="L30" s="760"/>
      <c r="M30" s="760"/>
      <c r="N30" s="760"/>
      <c r="O30" s="760"/>
      <c r="P30" s="760"/>
      <c r="Q30" s="749" t="str">
        <f>IF(C6="English","Other than the above",IF(C6="中文","上述以外","上記以外"))</f>
        <v>上記以外</v>
      </c>
      <c r="R30" s="749"/>
      <c r="S30" s="749"/>
      <c r="T30" s="750"/>
      <c r="U30" s="750"/>
      <c r="V30" s="750"/>
      <c r="W30" s="750"/>
      <c r="X30" s="749" t="str">
        <f>IF(C6="English","Intentionally added",IF(C6="中文","禁止有意添加","意図的添加禁止"))</f>
        <v>意図的添加禁止</v>
      </c>
      <c r="Y30" s="753"/>
      <c r="Z30" s="753"/>
      <c r="AA30" s="753"/>
      <c r="AB30" s="753"/>
      <c r="AC30" s="753"/>
      <c r="AD30" s="753"/>
      <c r="AE30" s="757"/>
      <c r="AF30" s="758"/>
      <c r="AG30" s="757"/>
      <c r="AH30" s="758"/>
    </row>
    <row r="31" spans="2:38" ht="20.100000000000001" customHeight="1">
      <c r="B31" s="147">
        <v>12</v>
      </c>
      <c r="C31" s="759" t="str">
        <f>IF(C6="English","Chlorinated Paraffin（medium-chain/long-chain）",IF(C6="中文","氯化石蜡（中链/长链）","塩素化パラフィン（中鎖/長鎖）"))</f>
        <v>塩素化パラフィン（中鎖/長鎖）</v>
      </c>
      <c r="D31" s="760"/>
      <c r="E31" s="760"/>
      <c r="F31" s="760"/>
      <c r="G31" s="760"/>
      <c r="H31" s="760"/>
      <c r="I31" s="760"/>
      <c r="J31" s="760"/>
      <c r="K31" s="760"/>
      <c r="L31" s="760"/>
      <c r="M31" s="760"/>
      <c r="N31" s="760"/>
      <c r="O31" s="760"/>
      <c r="P31" s="760"/>
      <c r="Q31" s="749" t="str">
        <f>IF(C6="English","All uses",IF(C6="中文","所有用途","全ての用途"))</f>
        <v>全ての用途</v>
      </c>
      <c r="R31" s="749"/>
      <c r="S31" s="749"/>
      <c r="T31" s="750"/>
      <c r="U31" s="750"/>
      <c r="V31" s="750"/>
      <c r="W31" s="750"/>
      <c r="X31" s="748">
        <v>1000</v>
      </c>
      <c r="Y31" s="753"/>
      <c r="Z31" s="753"/>
      <c r="AA31" s="753"/>
      <c r="AB31" s="753"/>
      <c r="AC31" s="753"/>
      <c r="AD31" s="753"/>
      <c r="AE31" s="399" t="s">
        <v>38</v>
      </c>
      <c r="AF31" s="399"/>
      <c r="AG31" s="754"/>
      <c r="AH31" s="754"/>
    </row>
    <row r="32" spans="2:38" ht="20.100000000000001" customHeight="1">
      <c r="B32" s="147">
        <v>13</v>
      </c>
      <c r="C32" s="759" t="str">
        <f>IF(C6="English","Trichlorobenzene(CAS RN 120-82-1，87-61-6，108-70-3)",IF(C6="中文","三氯苯(CAS RN. 120-82-1，87-61-6，108-70-3)","トリクロロベンゼン(CAS  RN 120-82-1，87-61-6，108-70-3)"))</f>
        <v>トリクロロベンゼン(CAS  RN 120-82-1，87-61-6，108-70-3)</v>
      </c>
      <c r="D32" s="760"/>
      <c r="E32" s="760"/>
      <c r="F32" s="760"/>
      <c r="G32" s="760"/>
      <c r="H32" s="760"/>
      <c r="I32" s="760"/>
      <c r="J32" s="760"/>
      <c r="K32" s="760"/>
      <c r="L32" s="760"/>
      <c r="M32" s="760"/>
      <c r="N32" s="760"/>
      <c r="O32" s="760"/>
      <c r="P32" s="760"/>
      <c r="Q32" s="749" t="str">
        <f>IF(C6="English","All uses",IF(C6="中文","所有用途","全ての用途"))</f>
        <v>全ての用途</v>
      </c>
      <c r="R32" s="749"/>
      <c r="S32" s="749"/>
      <c r="T32" s="750"/>
      <c r="U32" s="750"/>
      <c r="V32" s="750"/>
      <c r="W32" s="750"/>
      <c r="X32" s="748">
        <v>1000</v>
      </c>
      <c r="Y32" s="753"/>
      <c r="Z32" s="753"/>
      <c r="AA32" s="753"/>
      <c r="AB32" s="753"/>
      <c r="AC32" s="753"/>
      <c r="AD32" s="753"/>
      <c r="AE32" s="399" t="s">
        <v>38</v>
      </c>
      <c r="AF32" s="399"/>
      <c r="AG32" s="754"/>
      <c r="AH32" s="754"/>
    </row>
    <row r="33" spans="2:34" ht="20.100000000000001" customHeight="1">
      <c r="B33" s="147">
        <v>14</v>
      </c>
      <c r="C33" s="759" t="str">
        <f>IF(C6="English","Cyclohexane　(CAS  RN 110-82-7)",IF(C6="中文","环己烷　(CAS  RN 110-82-7)","シクロヘキサン　(CAS  RN 110-82-7)"))</f>
        <v>シクロヘキサン　(CAS  RN 110-82-7)</v>
      </c>
      <c r="D33" s="760"/>
      <c r="E33" s="760"/>
      <c r="F33" s="760"/>
      <c r="G33" s="760"/>
      <c r="H33" s="760"/>
      <c r="I33" s="760"/>
      <c r="J33" s="760"/>
      <c r="K33" s="760"/>
      <c r="L33" s="760"/>
      <c r="M33" s="760"/>
      <c r="N33" s="760"/>
      <c r="O33" s="760"/>
      <c r="P33" s="760"/>
      <c r="Q33" s="749" t="str">
        <f>IF(C6="English","Only use of adhesive",IF(C6="中文","所有用途","接着剤用途のみ適用"))</f>
        <v>接着剤用途のみ適用</v>
      </c>
      <c r="R33" s="749"/>
      <c r="S33" s="749"/>
      <c r="T33" s="750"/>
      <c r="U33" s="750"/>
      <c r="V33" s="750"/>
      <c r="W33" s="750"/>
      <c r="X33" s="748">
        <v>1000</v>
      </c>
      <c r="Y33" s="753"/>
      <c r="Z33" s="753"/>
      <c r="AA33" s="753"/>
      <c r="AB33" s="753"/>
      <c r="AC33" s="753"/>
      <c r="AD33" s="753"/>
      <c r="AE33" s="399" t="s">
        <v>38</v>
      </c>
      <c r="AF33" s="399"/>
      <c r="AG33" s="754"/>
      <c r="AH33" s="754"/>
    </row>
    <row r="34" spans="2:34" ht="30" customHeight="1">
      <c r="B34" s="126">
        <v>15</v>
      </c>
      <c r="C34" s="759" t="str">
        <f>IF(C6="English","Low molecular siloxane, and silicone rubber, silicone resin, silicone grease, silicone oil containing Low molecular siloxane",IF(C6="中文","低分子硅氧烷及含有硅氧烷的硅橡胶、硅树脂、硅脂、硅油","低分子シロキサンおよびそれを含有しているシリコーンゴム、シリコーン樹脂、シリコーングリース、シリコーンオイル"))</f>
        <v>低分子シロキサンおよびそれを含有しているシリコーンゴム、シリコーン樹脂、シリコーングリース、シリコーンオイル</v>
      </c>
      <c r="D34" s="761"/>
      <c r="E34" s="761"/>
      <c r="F34" s="761"/>
      <c r="G34" s="761"/>
      <c r="H34" s="761"/>
      <c r="I34" s="761"/>
      <c r="J34" s="761"/>
      <c r="K34" s="761"/>
      <c r="L34" s="761"/>
      <c r="M34" s="761"/>
      <c r="N34" s="761"/>
      <c r="O34" s="761"/>
      <c r="P34" s="761"/>
      <c r="Q34" s="749" t="str">
        <f>IF(C6="English","All uses",IF(C6="中文","仅适用于胶合剂用途","全ての用途"))</f>
        <v>全ての用途</v>
      </c>
      <c r="R34" s="749"/>
      <c r="S34" s="749"/>
      <c r="T34" s="750"/>
      <c r="U34" s="750"/>
      <c r="V34" s="750"/>
      <c r="W34" s="750"/>
      <c r="X34" s="749" t="str">
        <f>IF(C6="English","Intentionally added",IF(C6="中文","禁止有意添加","意図的添加禁止"))</f>
        <v>意図的添加禁止</v>
      </c>
      <c r="Y34" s="753"/>
      <c r="Z34" s="753"/>
      <c r="AA34" s="753"/>
      <c r="AB34" s="753"/>
      <c r="AC34" s="753"/>
      <c r="AD34" s="753"/>
      <c r="AE34" s="399" t="s">
        <v>38</v>
      </c>
      <c r="AF34" s="399"/>
      <c r="AG34" s="754"/>
      <c r="AH34" s="754"/>
    </row>
    <row r="35" spans="2:34" ht="20.100000000000001" customHeight="1">
      <c r="B35" s="147">
        <v>16</v>
      </c>
      <c r="C35" s="751" t="str">
        <f>IF(C6="English","Sulfer",IF(C6="中文","硫","硫黄"))</f>
        <v>硫黄</v>
      </c>
      <c r="D35" s="761"/>
      <c r="E35" s="761"/>
      <c r="F35" s="761"/>
      <c r="G35" s="761"/>
      <c r="H35" s="761"/>
      <c r="I35" s="761"/>
      <c r="J35" s="761"/>
      <c r="K35" s="761"/>
      <c r="L35" s="761"/>
      <c r="M35" s="761"/>
      <c r="N35" s="761"/>
      <c r="O35" s="761"/>
      <c r="P35" s="761"/>
      <c r="Q35" s="749" t="str">
        <f>IF(C6="English","All uses",IF(C6="中文","所有用途","全ての用途"))</f>
        <v>全ての用途</v>
      </c>
      <c r="R35" s="749"/>
      <c r="S35" s="749"/>
      <c r="T35" s="750"/>
      <c r="U35" s="750"/>
      <c r="V35" s="750"/>
      <c r="W35" s="750"/>
      <c r="X35" s="749" t="str">
        <f>IF(C6="English","Intentionally added",IF(C6="中文","禁止有意添加","意図的添加禁止"))</f>
        <v>意図的添加禁止</v>
      </c>
      <c r="Y35" s="753"/>
      <c r="Z35" s="753"/>
      <c r="AA35" s="753"/>
      <c r="AB35" s="753"/>
      <c r="AC35" s="753"/>
      <c r="AD35" s="753"/>
      <c r="AE35" s="399" t="s">
        <v>38</v>
      </c>
      <c r="AF35" s="399"/>
      <c r="AG35" s="754"/>
      <c r="AH35" s="754"/>
    </row>
    <row r="36" spans="2:34" ht="20.100000000000001" customHeight="1">
      <c r="B36" s="147">
        <v>17</v>
      </c>
      <c r="C36" s="759" t="str">
        <f>IF(C6="English","Red phosphorus 　(CAS  RN 7723-14-0) ",IF(C6="中文","红磷 　(CAS  RN 7723-14-0)","赤リン　(CAS  RN 7723-14-0)"))</f>
        <v>赤リン　(CAS  RN 7723-14-0)</v>
      </c>
      <c r="D36" s="760"/>
      <c r="E36" s="760"/>
      <c r="F36" s="760"/>
      <c r="G36" s="760"/>
      <c r="H36" s="760"/>
      <c r="I36" s="760"/>
      <c r="J36" s="760"/>
      <c r="K36" s="760"/>
      <c r="L36" s="760"/>
      <c r="M36" s="760"/>
      <c r="N36" s="760"/>
      <c r="O36" s="760"/>
      <c r="P36" s="760"/>
      <c r="Q36" s="749" t="str">
        <f>IF(C6="English","Flame retardant for resin",IF(C6="中文","树脂阻燃剂","樹脂の難燃剤"))</f>
        <v>樹脂の難燃剤</v>
      </c>
      <c r="R36" s="749"/>
      <c r="S36" s="749"/>
      <c r="T36" s="750"/>
      <c r="U36" s="750"/>
      <c r="V36" s="750"/>
      <c r="W36" s="750"/>
      <c r="X36" s="749" t="str">
        <f>IF(C6="English","Intentionally added",IF(C6="中文","禁止有意添加","意図的添加禁止"))</f>
        <v>意図的添加禁止</v>
      </c>
      <c r="Y36" s="753"/>
      <c r="Z36" s="753"/>
      <c r="AA36" s="753"/>
      <c r="AB36" s="753"/>
      <c r="AC36" s="753"/>
      <c r="AD36" s="753"/>
      <c r="AE36" s="399" t="s">
        <v>38</v>
      </c>
      <c r="AF36" s="399"/>
      <c r="AG36" s="754"/>
      <c r="AH36" s="754"/>
    </row>
    <row r="37" spans="2:34" ht="20.100000000000001" customHeight="1">
      <c r="B37" s="147">
        <v>18</v>
      </c>
      <c r="C37" s="751" t="str">
        <f>IF(C6="English","Nonylphenol and nonylphenol ethoxylate",IF(C6="中文","壬基酚以及壬基酚乙氧基化物","ノニルフェノールおよびノニルフェノールエトキシレート"))</f>
        <v>ノニルフェノールおよびノニルフェノールエトキシレート</v>
      </c>
      <c r="D37" s="761"/>
      <c r="E37" s="761"/>
      <c r="F37" s="761"/>
      <c r="G37" s="761"/>
      <c r="H37" s="761"/>
      <c r="I37" s="761"/>
      <c r="J37" s="761"/>
      <c r="K37" s="761"/>
      <c r="L37" s="761"/>
      <c r="M37" s="761"/>
      <c r="N37" s="761"/>
      <c r="O37" s="761"/>
      <c r="P37" s="761"/>
      <c r="Q37" s="749" t="str">
        <f>IF(C6="English","All uses",IF(C6="中文","所有用途","全ての用途"))</f>
        <v>全ての用途</v>
      </c>
      <c r="R37" s="749"/>
      <c r="S37" s="749"/>
      <c r="T37" s="750"/>
      <c r="U37" s="750"/>
      <c r="V37" s="750"/>
      <c r="W37" s="750"/>
      <c r="X37" s="749" t="str">
        <f>IF(C6="English","Intentionally added",IF(C6="中文","禁止有意添加","意図的添加禁止"))</f>
        <v>意図的添加禁止</v>
      </c>
      <c r="Y37" s="753"/>
      <c r="Z37" s="753"/>
      <c r="AA37" s="753"/>
      <c r="AB37" s="753"/>
      <c r="AC37" s="753"/>
      <c r="AD37" s="753"/>
      <c r="AE37" s="399" t="s">
        <v>38</v>
      </c>
      <c r="AF37" s="399"/>
      <c r="AG37" s="754"/>
      <c r="AH37" s="754"/>
    </row>
    <row r="38" spans="2:34" ht="40.049999999999997" customHeight="1">
      <c r="B38" s="147">
        <v>19</v>
      </c>
      <c r="C38" s="751" t="str">
        <f>IF(C6="English","N-Phenyl-benzenamine reaction products with styrene and 2,4,4-trimethylpentene（BNST）(CAS  RN 68921-45-9)",IF(C6="中文","二苯胺与苯乙烯和 2,4,4-三甲基戊烯的反应产物（BNST）(CAS  RN 68921-45-9)","N-フェニルベンゼンアミンとスチレンと2,4,4-トリメチルペンテンの反応生成物（BNST）(CAS  RN 68921-45-9)"))</f>
        <v>N-フェニルベンゼンアミンとスチレンと2,4,4-トリメチルペンテンの反応生成物（BNST）(CAS  RN 68921-45-9)</v>
      </c>
      <c r="D38" s="761"/>
      <c r="E38" s="761"/>
      <c r="F38" s="761"/>
      <c r="G38" s="761"/>
      <c r="H38" s="761"/>
      <c r="I38" s="761"/>
      <c r="J38" s="761"/>
      <c r="K38" s="761"/>
      <c r="L38" s="761"/>
      <c r="M38" s="761"/>
      <c r="N38" s="761"/>
      <c r="O38" s="761"/>
      <c r="P38" s="761"/>
      <c r="Q38" s="749" t="str">
        <f>IF(C6="English","All uses except rubber material;however, rubber material for tires is covered",IF(C6="中文","除橡胶材料外的所有用途(但，轮胎橡胶材料属于限制对象)","ゴム材を除く全ての用途(但し、タイヤ用ゴム材は規制の対象とする)"))</f>
        <v>ゴム材を除く全ての用途(但し、タイヤ用ゴム材は規制の対象とする)</v>
      </c>
      <c r="R38" s="749"/>
      <c r="S38" s="749"/>
      <c r="T38" s="750"/>
      <c r="U38" s="750"/>
      <c r="V38" s="750"/>
      <c r="W38" s="750"/>
      <c r="X38" s="749" t="str">
        <f>IF(C6="English","Intentionally added",IF(C6="中文","禁止有意添加","意図的添加禁止"))</f>
        <v>意図的添加禁止</v>
      </c>
      <c r="Y38" s="753"/>
      <c r="Z38" s="753"/>
      <c r="AA38" s="753"/>
      <c r="AB38" s="753"/>
      <c r="AC38" s="753"/>
      <c r="AD38" s="753"/>
      <c r="AE38" s="399" t="s">
        <v>38</v>
      </c>
      <c r="AF38" s="399"/>
      <c r="AG38" s="754" t="s">
        <v>38</v>
      </c>
      <c r="AH38" s="754"/>
    </row>
    <row r="39" spans="2:34" ht="55.05" customHeight="1">
      <c r="B39" s="127">
        <v>20</v>
      </c>
      <c r="C39" s="759" t="str">
        <f>IF(C6="English","PFCAs (C9-C14), their salts and related substances",IF(C6="中文","PFCA(C9-C14)及其盐和相关物质","PFCA(C9-C14)とその塩および関連物質"))</f>
        <v>PFCA(C9-C14)とその塩および関連物質</v>
      </c>
      <c r="D39" s="747"/>
      <c r="E39" s="747"/>
      <c r="F39" s="747"/>
      <c r="G39" s="747"/>
      <c r="H39" s="747"/>
      <c r="I39" s="747"/>
      <c r="J39" s="747"/>
      <c r="K39" s="747"/>
      <c r="L39" s="747"/>
      <c r="M39" s="747"/>
      <c r="N39" s="747"/>
      <c r="O39" s="747"/>
      <c r="P39" s="747"/>
      <c r="Q39" s="746" t="str">
        <f>IF(C6="English","All uses",IF(C6="中文","所有用途","全ての用途"))</f>
        <v>全ての用途</v>
      </c>
      <c r="R39" s="746"/>
      <c r="S39" s="746"/>
      <c r="T39" s="747"/>
      <c r="U39" s="747"/>
      <c r="V39" s="747"/>
      <c r="W39" s="747"/>
      <c r="X39" s="748" t="str">
        <f>IF(C6="English","25 ppb : for the sum of C9-C14 PFCAs and their salts
260 ppb : for the sum of C9-C14 PFCA-related substances",IF(C6="中文","PFCA(C9-C14)及其盐
合计：25ppb
PFCA(C9-C14)相关物质
合计：260ppb","PFCA(C9-C14)とその塩の合計：25ppb
PFCA(C9-C14)関連物質合計：260ppb"))</f>
        <v>PFCA(C9-C14)とその塩の合計：25ppb
PFCA(C9-C14)関連物質合計：260ppb</v>
      </c>
      <c r="Y39" s="753"/>
      <c r="Z39" s="753"/>
      <c r="AA39" s="753"/>
      <c r="AB39" s="753"/>
      <c r="AC39" s="753"/>
      <c r="AD39" s="753"/>
      <c r="AE39" s="399" t="s">
        <v>38</v>
      </c>
      <c r="AF39" s="399"/>
      <c r="AG39" s="754"/>
      <c r="AH39" s="754"/>
    </row>
    <row r="40" spans="2:34" ht="55.05" customHeight="1">
      <c r="B40" s="127">
        <v>21</v>
      </c>
      <c r="C40" s="759" t="str">
        <f>IF(C6="English","PFHxS（Perfluorohexanesulphonic acid）, its salts and related
substances",IF(C6="中文","全氟己基磺酸(PFHxS)及其盐和相关物质","ペルフルオロヘキサンスルホン酸（PFHxS）とその塩及び関連物質"))</f>
        <v>ペルフルオロヘキサンスルホン酸（PFHxS）とその塩及び関連物質</v>
      </c>
      <c r="D40" s="761"/>
      <c r="E40" s="761"/>
      <c r="F40" s="761"/>
      <c r="G40" s="761"/>
      <c r="H40" s="761"/>
      <c r="I40" s="761"/>
      <c r="J40" s="761"/>
      <c r="K40" s="761"/>
      <c r="L40" s="761"/>
      <c r="M40" s="761"/>
      <c r="N40" s="761"/>
      <c r="O40" s="761"/>
      <c r="P40" s="761"/>
      <c r="Q40" s="746" t="str">
        <f>IF(C6="English","All uses",IF(C6="中文","所有用途","全ての用途"))</f>
        <v>全ての用途</v>
      </c>
      <c r="R40" s="746"/>
      <c r="S40" s="746"/>
      <c r="T40" s="747"/>
      <c r="U40" s="747"/>
      <c r="V40" s="747"/>
      <c r="W40" s="747"/>
      <c r="X40" s="749" t="str">
        <f>IF(C6="English","25 ppb : for the sum of PFHxS and its salts
1000 ppb : for the sum of PFHxS related substances",IF(C6="中文","PFHxS及其盐
合计：25ppb
PFHxS相关物质
合计：1,000 ppb","PFHxSと
その塩の合計：25ppb
PFHxS関連物質
合計：1,000 ppb"))</f>
        <v>PFHxSと
その塩の合計：25ppb
PFHxS関連物質
合計：1,000 ppb</v>
      </c>
      <c r="Y40" s="753"/>
      <c r="Z40" s="753"/>
      <c r="AA40" s="753"/>
      <c r="AB40" s="753"/>
      <c r="AC40" s="753"/>
      <c r="AD40" s="753"/>
      <c r="AE40" s="399" t="s">
        <v>38</v>
      </c>
      <c r="AF40" s="399"/>
      <c r="AG40" s="754"/>
      <c r="AH40" s="754"/>
    </row>
    <row r="41" spans="2:34" ht="15" customHeight="1">
      <c r="B41" s="744">
        <v>22</v>
      </c>
      <c r="C41" s="765" t="str">
        <f>IF(C6="English","The derivatives of PFOS",IF(C6="中文","PFOS的衍生物质","PFOSの派生物質"))</f>
        <v>PFOSの派生物質</v>
      </c>
      <c r="D41" s="766"/>
      <c r="E41" s="766"/>
      <c r="F41" s="766"/>
      <c r="G41" s="766"/>
      <c r="H41" s="766"/>
      <c r="I41" s="766"/>
      <c r="J41" s="766"/>
      <c r="K41" s="766"/>
      <c r="L41" s="766"/>
      <c r="M41" s="766"/>
      <c r="N41" s="766"/>
      <c r="O41" s="766"/>
      <c r="P41" s="767"/>
      <c r="Q41" s="746" t="str">
        <f>IF(C6="English","Substance and Mixture",IF(C6="中文","物质和混合物","物質および混合物"))</f>
        <v>物質および混合物</v>
      </c>
      <c r="R41" s="746"/>
      <c r="S41" s="746"/>
      <c r="T41" s="747"/>
      <c r="U41" s="747"/>
      <c r="V41" s="747"/>
      <c r="W41" s="747"/>
      <c r="X41" s="749">
        <v>10</v>
      </c>
      <c r="Y41" s="753"/>
      <c r="Z41" s="753"/>
      <c r="AA41" s="753"/>
      <c r="AB41" s="753"/>
      <c r="AC41" s="753"/>
      <c r="AD41" s="753"/>
      <c r="AE41" s="399" t="s">
        <v>38</v>
      </c>
      <c r="AF41" s="399"/>
      <c r="AG41" s="755"/>
      <c r="AH41" s="756"/>
    </row>
    <row r="42" spans="2:34" ht="15" customHeight="1">
      <c r="B42" s="745"/>
      <c r="C42" s="768"/>
      <c r="D42" s="769"/>
      <c r="E42" s="769"/>
      <c r="F42" s="769"/>
      <c r="G42" s="769"/>
      <c r="H42" s="769"/>
      <c r="I42" s="769"/>
      <c r="J42" s="769"/>
      <c r="K42" s="769"/>
      <c r="L42" s="769"/>
      <c r="M42" s="769"/>
      <c r="N42" s="769"/>
      <c r="O42" s="769"/>
      <c r="P42" s="770"/>
      <c r="Q42" s="746" t="str">
        <f>IF(C6="English","Article",IF(C6="中文","成形品","成形品"))</f>
        <v>成形品</v>
      </c>
      <c r="R42" s="746"/>
      <c r="S42" s="746"/>
      <c r="T42" s="747"/>
      <c r="U42" s="747"/>
      <c r="V42" s="747"/>
      <c r="W42" s="747"/>
      <c r="X42" s="748">
        <v>1000</v>
      </c>
      <c r="Y42" s="749"/>
      <c r="Z42" s="749"/>
      <c r="AA42" s="750"/>
      <c r="AB42" s="750"/>
      <c r="AC42" s="750"/>
      <c r="AD42" s="750"/>
      <c r="AE42" s="399" t="s">
        <v>38</v>
      </c>
      <c r="AF42" s="399"/>
      <c r="AG42" s="757"/>
      <c r="AH42" s="758"/>
    </row>
    <row r="43" spans="2:34" ht="30" customHeight="1">
      <c r="B43" s="127">
        <v>23</v>
      </c>
      <c r="C43" s="759" t="str">
        <f>IF(C6="English","n-Hexane 
(CAS RN 110-54-3)",IF(C6="中文","正己烷
(CAS RN 110-54-3)","n-ヘキサン
(CAS RN 110-54-3)"))</f>
        <v>n-ヘキサン
(CAS RN 110-54-3)</v>
      </c>
      <c r="D43" s="747"/>
      <c r="E43" s="747"/>
      <c r="F43" s="747"/>
      <c r="G43" s="747"/>
      <c r="H43" s="747"/>
      <c r="I43" s="747"/>
      <c r="J43" s="747"/>
      <c r="K43" s="747"/>
      <c r="L43" s="747"/>
      <c r="M43" s="747"/>
      <c r="N43" s="747"/>
      <c r="O43" s="747"/>
      <c r="P43" s="747"/>
      <c r="Q43" s="746" t="str">
        <f>IF(C6="English","All uses",IF(C6="中文","所有用途","全ての用途"))</f>
        <v>全ての用途</v>
      </c>
      <c r="R43" s="746"/>
      <c r="S43" s="746"/>
      <c r="T43" s="747"/>
      <c r="U43" s="747"/>
      <c r="V43" s="747"/>
      <c r="W43" s="747"/>
      <c r="X43" s="748">
        <v>1000</v>
      </c>
      <c r="Y43" s="753"/>
      <c r="Z43" s="753"/>
      <c r="AA43" s="753"/>
      <c r="AB43" s="753"/>
      <c r="AC43" s="753"/>
      <c r="AD43" s="753"/>
      <c r="AE43" s="399" t="s">
        <v>38</v>
      </c>
      <c r="AF43" s="399"/>
      <c r="AG43" s="754" t="s">
        <v>38</v>
      </c>
      <c r="AH43" s="754"/>
    </row>
    <row r="44" spans="2:34" ht="30" customHeight="1">
      <c r="B44" s="127">
        <v>24</v>
      </c>
      <c r="C44" s="759" t="str">
        <f>IF(C6="English","PAHs 27substances",IF(C6="中文","PAHs 27物质","PAHs 27物質"))</f>
        <v>PAHs 27物質</v>
      </c>
      <c r="D44" s="747"/>
      <c r="E44" s="747"/>
      <c r="F44" s="747"/>
      <c r="G44" s="747"/>
      <c r="H44" s="747"/>
      <c r="I44" s="747"/>
      <c r="J44" s="747"/>
      <c r="K44" s="747"/>
      <c r="L44" s="747"/>
      <c r="M44" s="747"/>
      <c r="N44" s="747"/>
      <c r="O44" s="747"/>
      <c r="P44" s="747"/>
      <c r="Q44" s="746" t="str">
        <f>IF(C6="English","Inks, External materials",IF(C6="中文","油墨和外壳部件","インクおよび外殻部品"))</f>
        <v>インクおよび外殻部品</v>
      </c>
      <c r="R44" s="746"/>
      <c r="S44" s="746"/>
      <c r="T44" s="747"/>
      <c r="U44" s="747"/>
      <c r="V44" s="747"/>
      <c r="W44" s="747"/>
      <c r="X44" s="749" t="str">
        <f>IF(C6="English","0.5 ppm individually and 10 ppm for sum of total",IF(C6="中文","各0.5且合计10
","各0.5且つ合計10"))</f>
        <v>各0.5且つ合計10</v>
      </c>
      <c r="Y44" s="753"/>
      <c r="Z44" s="753"/>
      <c r="AA44" s="753"/>
      <c r="AB44" s="753"/>
      <c r="AC44" s="753"/>
      <c r="AD44" s="753"/>
      <c r="AE44" s="399" t="s">
        <v>38</v>
      </c>
      <c r="AF44" s="399"/>
      <c r="AG44" s="754" t="s">
        <v>38</v>
      </c>
      <c r="AH44" s="754"/>
    </row>
    <row r="45" spans="2:34" ht="20.100000000000001" customHeight="1">
      <c r="B45" s="127">
        <v>25</v>
      </c>
      <c r="C45" s="751" t="str">
        <f>IF(C6="English","Decabromodiphenylethane（DBDPE）(CAS RN 84852-53-9)",IF(C6="中文","十溴二苯乙烷（DBDPE）(CAS RN 84852-53-9)","デカブロモジフェニルエタン（DBDPE）(CAS RN 84852-53-9)"))</f>
        <v>デカブロモジフェニルエタン（DBDPE）(CAS RN 84852-53-9)</v>
      </c>
      <c r="D45" s="752"/>
      <c r="E45" s="752"/>
      <c r="F45" s="752"/>
      <c r="G45" s="752"/>
      <c r="H45" s="752"/>
      <c r="I45" s="752"/>
      <c r="J45" s="752"/>
      <c r="K45" s="752"/>
      <c r="L45" s="752"/>
      <c r="M45" s="752"/>
      <c r="N45" s="752"/>
      <c r="O45" s="752"/>
      <c r="P45" s="752"/>
      <c r="Q45" s="746" t="s">
        <v>53</v>
      </c>
      <c r="R45" s="746"/>
      <c r="S45" s="746"/>
      <c r="T45" s="747"/>
      <c r="U45" s="747"/>
      <c r="V45" s="747"/>
      <c r="W45" s="747"/>
      <c r="X45" s="749" t="str">
        <f>IF(C6="English","Intentionally added",IF(C6="中文","禁止有意添加","意図的添加禁止"))</f>
        <v>意図的添加禁止</v>
      </c>
      <c r="Y45" s="753"/>
      <c r="Z45" s="753"/>
      <c r="AA45" s="753"/>
      <c r="AB45" s="753"/>
      <c r="AC45" s="753"/>
      <c r="AD45" s="753"/>
      <c r="AE45" s="399" t="s">
        <v>38</v>
      </c>
      <c r="AF45" s="399"/>
      <c r="AG45" s="754"/>
      <c r="AH45" s="754"/>
    </row>
    <row r="46" spans="2:34" ht="30" customHeight="1">
      <c r="B46" s="127">
        <v>26</v>
      </c>
      <c r="C46" s="759" t="str">
        <f>IF(C6="English","Dechlorane Plus) and anti- and syn-isomers
(CAS RN 13560-89-9, 135821-03-3, 135821-74-8)",IF(C6="中文","德克隆及其顺异构体和反异构体
(CAS RN 13560-89-9, 135821-03-3, 135821-74-8)","デクロランプラス 並びにそのsyn-異性体及びanti-異性体
(CAS RN 13560-89-9, 135821-03-3, 135821-74-8)"))</f>
        <v>デクロランプラス 並びにそのsyn-異性体及びanti-異性体
(CAS RN 13560-89-9, 135821-03-3, 135821-74-8)</v>
      </c>
      <c r="D46" s="747"/>
      <c r="E46" s="747"/>
      <c r="F46" s="747"/>
      <c r="G46" s="747"/>
      <c r="H46" s="747"/>
      <c r="I46" s="747"/>
      <c r="J46" s="747"/>
      <c r="K46" s="747"/>
      <c r="L46" s="747"/>
      <c r="M46" s="747"/>
      <c r="N46" s="747"/>
      <c r="O46" s="747"/>
      <c r="P46" s="747"/>
      <c r="Q46" s="746" t="s">
        <v>53</v>
      </c>
      <c r="R46" s="746"/>
      <c r="S46" s="746"/>
      <c r="T46" s="747"/>
      <c r="U46" s="747"/>
      <c r="V46" s="747"/>
      <c r="W46" s="747"/>
      <c r="X46" s="748" t="str">
        <f>IF(C6="English","Intentionally added",IF(C6="中文","禁止有意添加","意図的添加禁止"))</f>
        <v>意図的添加禁止</v>
      </c>
      <c r="Y46" s="753"/>
      <c r="Z46" s="753"/>
      <c r="AA46" s="753"/>
      <c r="AB46" s="753"/>
      <c r="AC46" s="753"/>
      <c r="AD46" s="753"/>
      <c r="AE46" s="399" t="s">
        <v>38</v>
      </c>
      <c r="AF46" s="399"/>
      <c r="AG46" s="754" t="s">
        <v>38</v>
      </c>
      <c r="AH46" s="754"/>
    </row>
    <row r="47" spans="2:34" ht="23.1" customHeight="1">
      <c r="B47" s="127"/>
      <c r="C47" s="759"/>
      <c r="D47" s="747"/>
      <c r="E47" s="747"/>
      <c r="F47" s="747"/>
      <c r="G47" s="747"/>
      <c r="H47" s="747"/>
      <c r="I47" s="747"/>
      <c r="J47" s="747"/>
      <c r="K47" s="747"/>
      <c r="L47" s="747"/>
      <c r="M47" s="747"/>
      <c r="N47" s="747"/>
      <c r="O47" s="747"/>
      <c r="P47" s="747"/>
      <c r="Q47" s="746"/>
      <c r="R47" s="746"/>
      <c r="S47" s="746"/>
      <c r="T47" s="747"/>
      <c r="U47" s="747"/>
      <c r="V47" s="747"/>
      <c r="W47" s="747"/>
      <c r="X47" s="749"/>
      <c r="Y47" s="753"/>
      <c r="Z47" s="753"/>
      <c r="AA47" s="753"/>
      <c r="AB47" s="753"/>
      <c r="AC47" s="753"/>
      <c r="AD47" s="753"/>
      <c r="AE47" s="399" t="s">
        <v>38</v>
      </c>
      <c r="AF47" s="399"/>
      <c r="AG47" s="754" t="s">
        <v>38</v>
      </c>
      <c r="AH47" s="754"/>
    </row>
    <row r="48" spans="2:34" ht="23.1" customHeight="1">
      <c r="B48" s="127"/>
      <c r="C48" s="759"/>
      <c r="D48" s="747"/>
      <c r="E48" s="747"/>
      <c r="F48" s="747"/>
      <c r="G48" s="747"/>
      <c r="H48" s="747"/>
      <c r="I48" s="747"/>
      <c r="J48" s="747"/>
      <c r="K48" s="747"/>
      <c r="L48" s="747"/>
      <c r="M48" s="747"/>
      <c r="N48" s="747"/>
      <c r="O48" s="747"/>
      <c r="P48" s="747"/>
      <c r="Q48" s="746"/>
      <c r="R48" s="746"/>
      <c r="S48" s="746"/>
      <c r="T48" s="747"/>
      <c r="U48" s="747"/>
      <c r="V48" s="747"/>
      <c r="W48" s="747"/>
      <c r="X48" s="749"/>
      <c r="Y48" s="753"/>
      <c r="Z48" s="753"/>
      <c r="AA48" s="753"/>
      <c r="AB48" s="753"/>
      <c r="AC48" s="753"/>
      <c r="AD48" s="753"/>
      <c r="AE48" s="399" t="s">
        <v>38</v>
      </c>
      <c r="AF48" s="399"/>
      <c r="AG48" s="754" t="s">
        <v>38</v>
      </c>
      <c r="AH48" s="754"/>
    </row>
    <row r="49" spans="1:40" ht="23.1" customHeight="1">
      <c r="B49" s="127"/>
      <c r="C49" s="759"/>
      <c r="D49" s="747"/>
      <c r="E49" s="747"/>
      <c r="F49" s="747"/>
      <c r="G49" s="747"/>
      <c r="H49" s="747"/>
      <c r="I49" s="747"/>
      <c r="J49" s="747"/>
      <c r="K49" s="747"/>
      <c r="L49" s="747"/>
      <c r="M49" s="747"/>
      <c r="N49" s="747"/>
      <c r="O49" s="747"/>
      <c r="P49" s="747"/>
      <c r="Q49" s="746"/>
      <c r="R49" s="746"/>
      <c r="S49" s="746"/>
      <c r="T49" s="747"/>
      <c r="U49" s="747"/>
      <c r="V49" s="747"/>
      <c r="W49" s="747"/>
      <c r="X49" s="749"/>
      <c r="Y49" s="753"/>
      <c r="Z49" s="753"/>
      <c r="AA49" s="753"/>
      <c r="AB49" s="753"/>
      <c r="AC49" s="753"/>
      <c r="AD49" s="753"/>
      <c r="AE49" s="399" t="s">
        <v>38</v>
      </c>
      <c r="AF49" s="399"/>
      <c r="AG49" s="754" t="s">
        <v>38</v>
      </c>
      <c r="AH49" s="754"/>
    </row>
    <row r="50" spans="1:40" ht="5.0999999999999996" customHeight="1">
      <c r="B50" s="91"/>
      <c r="C50" s="92"/>
      <c r="D50" s="93"/>
      <c r="E50" s="93"/>
      <c r="F50" s="93"/>
      <c r="G50" s="93"/>
      <c r="H50" s="93"/>
      <c r="I50" s="93"/>
      <c r="J50" s="93"/>
      <c r="K50" s="93"/>
      <c r="L50" s="93"/>
      <c r="M50" s="93"/>
      <c r="N50" s="93"/>
      <c r="O50" s="93"/>
      <c r="P50" s="94"/>
      <c r="Q50" s="94"/>
      <c r="R50" s="94"/>
      <c r="S50" s="94"/>
      <c r="T50" s="94"/>
      <c r="U50" s="94"/>
      <c r="V50" s="94"/>
      <c r="W50" s="94"/>
      <c r="X50" s="94"/>
      <c r="Y50" s="94"/>
      <c r="Z50" s="94"/>
      <c r="AA50" s="94"/>
      <c r="AB50" s="94"/>
      <c r="AC50" s="94"/>
      <c r="AD50" s="94"/>
      <c r="AE50" s="94"/>
      <c r="AF50" s="94"/>
      <c r="AG50" s="94"/>
      <c r="AH50" s="94"/>
    </row>
    <row r="51" spans="1:40" ht="15" customHeight="1">
      <c r="B51" s="92" t="str">
        <f>IF(C6="English","Please refer to 「Standard EM10507 Attachment Environmental Chemical Substances List」 for a detailed list(No.2 and No.9) and the regulation value.",IF(C6="中文","No.2和No.9详细一览表以及限制物质请参照「绿色采购管理要领EM10507 附属书环境化学物质一览表」","No.2、No.9、No.24の詳細リストおよび規制値は「グリーン調達管理要領EM10507 附属書環境化学物質リスト｣を参照願います。"))</f>
        <v>No.2、No.9、No.24の詳細リストおよび規制値は「グリーン調達管理要領EM10507 附属書環境化学物質リスト｣を参照願います。</v>
      </c>
      <c r="D51" s="92"/>
      <c r="E51" s="92"/>
      <c r="F51" s="92"/>
      <c r="G51" s="92"/>
      <c r="H51" s="92"/>
      <c r="I51" s="94"/>
      <c r="J51" s="94"/>
      <c r="K51" s="94"/>
      <c r="L51" s="94"/>
      <c r="M51" s="94"/>
      <c r="N51" s="94"/>
      <c r="O51" s="94"/>
      <c r="P51" s="76"/>
      <c r="Q51" s="76"/>
      <c r="R51" s="76"/>
      <c r="S51" s="76"/>
      <c r="T51" s="76"/>
      <c r="U51" s="76"/>
      <c r="V51" s="76"/>
      <c r="W51" s="76"/>
      <c r="X51" s="76"/>
      <c r="Y51" s="76"/>
      <c r="Z51" s="76"/>
      <c r="AA51" s="76"/>
      <c r="AB51" s="76"/>
      <c r="AC51" s="76"/>
      <c r="AD51" s="76"/>
      <c r="AE51" s="76"/>
      <c r="AF51" s="76"/>
      <c r="AG51" s="76"/>
      <c r="AH51" s="76"/>
    </row>
    <row r="52" spans="1:40" ht="5.0999999999999996" customHeight="1">
      <c r="B52" s="124"/>
      <c r="C52" s="95"/>
      <c r="D52" s="95"/>
      <c r="E52" s="95"/>
      <c r="F52" s="95"/>
      <c r="G52" s="95"/>
      <c r="H52" s="95"/>
      <c r="I52" s="95"/>
      <c r="J52" s="95"/>
      <c r="K52" s="95"/>
      <c r="L52" s="95"/>
      <c r="M52" s="95"/>
      <c r="N52" s="95"/>
      <c r="O52" s="96"/>
    </row>
    <row r="53" spans="1:40" ht="13.5" customHeight="1">
      <c r="B53" s="97"/>
      <c r="C53" s="151"/>
      <c r="D53" s="148"/>
      <c r="E53" s="148"/>
      <c r="F53" s="148"/>
      <c r="G53" s="148"/>
      <c r="H53" s="148"/>
      <c r="I53" s="148"/>
      <c r="J53" s="148"/>
      <c r="K53" s="148"/>
      <c r="L53" s="148"/>
      <c r="M53" s="148"/>
      <c r="N53" s="148"/>
      <c r="O53" s="148"/>
      <c r="P53" s="72"/>
      <c r="Q53" s="94"/>
      <c r="R53" s="94"/>
      <c r="S53" s="94"/>
      <c r="T53" s="72"/>
      <c r="U53" s="72"/>
      <c r="V53" s="72"/>
      <c r="W53" s="72"/>
      <c r="X53" s="72"/>
      <c r="Y53" s="72"/>
      <c r="Z53" s="72"/>
      <c r="AA53" s="72"/>
      <c r="AB53" s="72"/>
      <c r="AC53" s="821" t="str">
        <f>'Appendix 1 '!AC83:AH83</f>
        <v>Form：F-0045-14</v>
      </c>
      <c r="AD53" s="822"/>
      <c r="AE53" s="822"/>
      <c r="AF53" s="822"/>
      <c r="AG53" s="822"/>
      <c r="AH53" s="823"/>
      <c r="AK53" s="80"/>
      <c r="AL53" s="80"/>
      <c r="AM53" s="80"/>
      <c r="AN53" s="80"/>
    </row>
    <row r="54" spans="1:40" ht="15" customHeight="1">
      <c r="B54" s="79"/>
      <c r="C54" s="79"/>
      <c r="D54" s="95"/>
      <c r="E54" s="79"/>
      <c r="F54" s="79"/>
      <c r="G54" s="79"/>
      <c r="H54" s="79"/>
      <c r="I54" s="79"/>
      <c r="J54" s="79"/>
      <c r="K54" s="79"/>
      <c r="L54" s="79"/>
      <c r="M54" s="79"/>
      <c r="N54" s="79"/>
    </row>
    <row r="55" spans="1:40" ht="15" customHeight="1">
      <c r="B55" s="98"/>
      <c r="C55" s="98"/>
      <c r="D55" s="98"/>
      <c r="E55" s="98"/>
      <c r="F55" s="98"/>
      <c r="G55" s="98"/>
      <c r="H55" s="98"/>
      <c r="I55" s="98"/>
      <c r="J55" s="98"/>
      <c r="K55" s="98"/>
      <c r="L55" s="98"/>
      <c r="M55" s="98"/>
      <c r="N55" s="98"/>
    </row>
    <row r="56" spans="1:40" ht="15" customHeight="1">
      <c r="A56" s="76"/>
      <c r="B56" s="98"/>
      <c r="C56" s="98"/>
      <c r="D56" s="98"/>
      <c r="E56" s="98"/>
      <c r="F56" s="98"/>
      <c r="G56" s="98"/>
      <c r="H56" s="98"/>
      <c r="I56" s="98"/>
      <c r="J56" s="98"/>
      <c r="K56" s="98"/>
      <c r="L56" s="98"/>
      <c r="M56" s="98"/>
      <c r="N56" s="98"/>
      <c r="P56" s="80"/>
      <c r="Q56" s="80"/>
      <c r="R56" s="80"/>
      <c r="S56" s="80"/>
      <c r="T56" s="80"/>
      <c r="U56" s="80"/>
      <c r="V56" s="80"/>
      <c r="W56" s="80"/>
      <c r="X56" s="80"/>
      <c r="Y56" s="80"/>
      <c r="Z56" s="80"/>
      <c r="AA56" s="80"/>
      <c r="AB56" s="80"/>
      <c r="AC56" s="80"/>
      <c r="AD56" s="80"/>
      <c r="AE56" s="80"/>
      <c r="AG56" s="80"/>
    </row>
    <row r="57" spans="1:40" ht="15" customHeight="1">
      <c r="P57" s="80"/>
      <c r="Q57" s="80"/>
      <c r="R57" s="80"/>
      <c r="S57" s="80"/>
      <c r="T57" s="80"/>
      <c r="U57" s="80"/>
      <c r="V57" s="80"/>
      <c r="W57" s="80"/>
      <c r="X57" s="80"/>
      <c r="Y57" s="80"/>
      <c r="Z57" s="80"/>
      <c r="AA57" s="80"/>
      <c r="AB57" s="80"/>
      <c r="AC57" s="80"/>
      <c r="AD57" s="80"/>
      <c r="AE57" s="80"/>
      <c r="AG57" s="80"/>
    </row>
    <row r="58" spans="1:40" ht="15" customHeight="1">
      <c r="A58" s="99"/>
      <c r="B58" s="80"/>
      <c r="C58" s="80"/>
      <c r="D58" s="80"/>
      <c r="E58" s="80"/>
      <c r="F58" s="80"/>
      <c r="G58" s="80"/>
      <c r="H58" s="80"/>
      <c r="I58" s="80"/>
      <c r="J58" s="80"/>
      <c r="K58" s="80"/>
      <c r="L58" s="80"/>
      <c r="M58" s="80"/>
      <c r="N58" s="80"/>
      <c r="O58" s="80"/>
    </row>
    <row r="59" spans="1:40" ht="15" customHeight="1">
      <c r="B59" s="80"/>
      <c r="C59" s="80"/>
      <c r="D59" s="80"/>
      <c r="E59" s="80"/>
      <c r="F59" s="80"/>
      <c r="G59" s="80"/>
      <c r="H59" s="80"/>
      <c r="I59" s="80"/>
      <c r="J59" s="80"/>
      <c r="K59" s="80"/>
      <c r="L59" s="80"/>
      <c r="M59" s="80"/>
      <c r="N59" s="80"/>
      <c r="O59" s="80"/>
    </row>
    <row r="60" spans="1:40" ht="15" customHeight="1"/>
    <row r="61" spans="1:40" ht="15" customHeight="1"/>
    <row r="62" spans="1:40" ht="15" customHeight="1"/>
  </sheetData>
  <mergeCells count="169">
    <mergeCell ref="C47:P47"/>
    <mergeCell ref="Q47:W47"/>
    <mergeCell ref="X47:AD47"/>
    <mergeCell ref="AE47:AF47"/>
    <mergeCell ref="AG47:AH47"/>
    <mergeCell ref="AC53:AH53"/>
    <mergeCell ref="C48:P48"/>
    <mergeCell ref="Q48:W48"/>
    <mergeCell ref="X48:AD48"/>
    <mergeCell ref="AE48:AF48"/>
    <mergeCell ref="AG48:AH48"/>
    <mergeCell ref="C49:P49"/>
    <mergeCell ref="Q49:W49"/>
    <mergeCell ref="X49:AD49"/>
    <mergeCell ref="AE49:AF49"/>
    <mergeCell ref="AG49:AH49"/>
    <mergeCell ref="C45:P45"/>
    <mergeCell ref="Q45:W45"/>
    <mergeCell ref="X45:AD45"/>
    <mergeCell ref="AE45:AF45"/>
    <mergeCell ref="AG45:AH45"/>
    <mergeCell ref="C46:P46"/>
    <mergeCell ref="Q46:W46"/>
    <mergeCell ref="X46:AD46"/>
    <mergeCell ref="AE46:AF46"/>
    <mergeCell ref="AG46:AH46"/>
    <mergeCell ref="C43:P43"/>
    <mergeCell ref="Q43:W43"/>
    <mergeCell ref="X43:AD43"/>
    <mergeCell ref="AE43:AF43"/>
    <mergeCell ref="AG43:AH43"/>
    <mergeCell ref="C44:P44"/>
    <mergeCell ref="Q44:W44"/>
    <mergeCell ref="X44:AD44"/>
    <mergeCell ref="AE44:AF44"/>
    <mergeCell ref="AG44:AH44"/>
    <mergeCell ref="B41:B42"/>
    <mergeCell ref="C41:P42"/>
    <mergeCell ref="Q41:W41"/>
    <mergeCell ref="X41:AD41"/>
    <mergeCell ref="AE41:AF41"/>
    <mergeCell ref="AG41:AH42"/>
    <mergeCell ref="Q42:W42"/>
    <mergeCell ref="X42:AD42"/>
    <mergeCell ref="AE42:AF42"/>
    <mergeCell ref="C39:P39"/>
    <mergeCell ref="Q39:W39"/>
    <mergeCell ref="X39:AD39"/>
    <mergeCell ref="AE39:AF39"/>
    <mergeCell ref="AG39:AH39"/>
    <mergeCell ref="C40:P40"/>
    <mergeCell ref="Q40:W40"/>
    <mergeCell ref="X40:AD40"/>
    <mergeCell ref="AE40:AF40"/>
    <mergeCell ref="AG40:AH40"/>
    <mergeCell ref="C37:P37"/>
    <mergeCell ref="Q37:W37"/>
    <mergeCell ref="X37:AD37"/>
    <mergeCell ref="AE37:AF37"/>
    <mergeCell ref="AG37:AH37"/>
    <mergeCell ref="C38:P38"/>
    <mergeCell ref="Q38:W38"/>
    <mergeCell ref="X38:AD38"/>
    <mergeCell ref="AE38:AF38"/>
    <mergeCell ref="AG38:AH38"/>
    <mergeCell ref="C35:P35"/>
    <mergeCell ref="Q35:W35"/>
    <mergeCell ref="X35:AD35"/>
    <mergeCell ref="AE35:AF35"/>
    <mergeCell ref="AG35:AH35"/>
    <mergeCell ref="C36:P36"/>
    <mergeCell ref="Q36:W36"/>
    <mergeCell ref="X36:AD36"/>
    <mergeCell ref="AE36:AF36"/>
    <mergeCell ref="AG36:AH36"/>
    <mergeCell ref="C33:P33"/>
    <mergeCell ref="Q33:W33"/>
    <mergeCell ref="X33:AD33"/>
    <mergeCell ref="AE33:AF33"/>
    <mergeCell ref="AG33:AH33"/>
    <mergeCell ref="C34:P34"/>
    <mergeCell ref="Q34:W34"/>
    <mergeCell ref="X34:AD34"/>
    <mergeCell ref="AE34:AF34"/>
    <mergeCell ref="AG34:AH34"/>
    <mergeCell ref="C31:P31"/>
    <mergeCell ref="Q31:W31"/>
    <mergeCell ref="X31:AD31"/>
    <mergeCell ref="AE31:AF31"/>
    <mergeCell ref="AG31:AH31"/>
    <mergeCell ref="C32:P32"/>
    <mergeCell ref="Q32:W32"/>
    <mergeCell ref="X32:AD32"/>
    <mergeCell ref="AE32:AF32"/>
    <mergeCell ref="AG32:AH32"/>
    <mergeCell ref="C27:P27"/>
    <mergeCell ref="Q27:W27"/>
    <mergeCell ref="X27:AD27"/>
    <mergeCell ref="AE27:AF27"/>
    <mergeCell ref="AG27:AH27"/>
    <mergeCell ref="B28:B30"/>
    <mergeCell ref="C28:P30"/>
    <mergeCell ref="Q28:W28"/>
    <mergeCell ref="X28:AD28"/>
    <mergeCell ref="AE28:AF30"/>
    <mergeCell ref="AG28:AH30"/>
    <mergeCell ref="Q29:W29"/>
    <mergeCell ref="X29:AD29"/>
    <mergeCell ref="Q30:W30"/>
    <mergeCell ref="X30:AD30"/>
    <mergeCell ref="C25:P25"/>
    <mergeCell ref="Q25:W25"/>
    <mergeCell ref="X25:AD25"/>
    <mergeCell ref="AE25:AF25"/>
    <mergeCell ref="AG25:AH25"/>
    <mergeCell ref="C26:P26"/>
    <mergeCell ref="Q26:W26"/>
    <mergeCell ref="X26:AD26"/>
    <mergeCell ref="AE26:AF26"/>
    <mergeCell ref="AG26:AH26"/>
    <mergeCell ref="C23:P23"/>
    <mergeCell ref="Q23:W23"/>
    <mergeCell ref="X23:AD23"/>
    <mergeCell ref="AE23:AF23"/>
    <mergeCell ref="AG23:AH23"/>
    <mergeCell ref="C24:P24"/>
    <mergeCell ref="Q24:W24"/>
    <mergeCell ref="X24:AD24"/>
    <mergeCell ref="AE24:AF24"/>
    <mergeCell ref="AG24:AH24"/>
    <mergeCell ref="AG21:AH21"/>
    <mergeCell ref="C22:P22"/>
    <mergeCell ref="Q22:W22"/>
    <mergeCell ref="X22:AD22"/>
    <mergeCell ref="AE22:AF22"/>
    <mergeCell ref="AG22:AH22"/>
    <mergeCell ref="C20:P20"/>
    <mergeCell ref="Q20:W20"/>
    <mergeCell ref="X20:AA20"/>
    <mergeCell ref="AB20:AD21"/>
    <mergeCell ref="AE20:AF20"/>
    <mergeCell ref="AG20:AH20"/>
    <mergeCell ref="C21:P21"/>
    <mergeCell ref="Q21:W21"/>
    <mergeCell ref="X21:AA21"/>
    <mergeCell ref="AE21:AF21"/>
    <mergeCell ref="C18:P18"/>
    <mergeCell ref="Q18:W18"/>
    <mergeCell ref="X18:AD18"/>
    <mergeCell ref="AE18:AF18"/>
    <mergeCell ref="AG18:AH18"/>
    <mergeCell ref="C19:P19"/>
    <mergeCell ref="Q19:W19"/>
    <mergeCell ref="X19:AD19"/>
    <mergeCell ref="AE19:AF19"/>
    <mergeCell ref="AG19:AH19"/>
    <mergeCell ref="B15:P16"/>
    <mergeCell ref="AB15:AH15"/>
    <mergeCell ref="C17:P17"/>
    <mergeCell ref="Q17:W17"/>
    <mergeCell ref="X17:AD17"/>
    <mergeCell ref="AE17:AF17"/>
    <mergeCell ref="AG17:AH17"/>
    <mergeCell ref="B3:AG3"/>
    <mergeCell ref="C6:AC6"/>
    <mergeCell ref="B8:AC8"/>
    <mergeCell ref="AC11:AH11"/>
    <mergeCell ref="B12:AH13"/>
    <mergeCell ref="C14:Y14"/>
  </mergeCells>
  <phoneticPr fontId="2"/>
  <dataValidations count="3">
    <dataValidation type="list" allowBlank="1" showInputMessage="1" showErrorMessage="1" sqref="C6:AC6">
      <formula1>$AK$11:$AK$13</formula1>
    </dataValidation>
    <dataValidation type="list" allowBlank="1" showInputMessage="1" sqref="AG18:AH28 AG31:AH41 AG43:AH49">
      <formula1>"○"</formula1>
    </dataValidation>
    <dataValidation type="list" allowBlank="1" showInputMessage="1" sqref="AE18:AF28 AE31:AF49">
      <formula1>"✔"</formula1>
    </dataValidation>
  </dataValidations>
  <pageMargins left="0.39370078740157483" right="0.19685039370078741" top="0.31496062992125984" bottom="0.31496062992125984" header="0.23622047244094491" footer="0.19685039370078741"/>
  <pageSetup paperSize="9" scale="95" orientation="portrait" r:id="rId1"/>
  <headerFooter alignWithMargins="0">
    <oddFooter>&amp;C&amp;"ＭＳ ゴシック,標準"&amp;9MinebeaMitsumiInc.</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3"/>
  <sheetViews>
    <sheetView showGridLines="0" zoomScaleNormal="100" workbookViewId="0">
      <selection activeCell="B2" sqref="B2:E2"/>
    </sheetView>
  </sheetViews>
  <sheetFormatPr defaultColWidth="9" defaultRowHeight="15.6"/>
  <cols>
    <col min="1" max="1" width="1.109375" style="48" customWidth="1"/>
    <col min="2" max="7" width="18.6640625" style="48" customWidth="1"/>
    <col min="8" max="8" width="10.6640625" style="48" customWidth="1"/>
    <col min="9" max="9" width="18.6640625" style="48" customWidth="1"/>
    <col min="10" max="10" width="10.6640625" style="48" customWidth="1"/>
    <col min="11" max="11" width="18.6640625" style="48" customWidth="1"/>
    <col min="12" max="12" width="1.88671875" style="48" customWidth="1"/>
    <col min="13" max="13" width="9" style="48"/>
    <col min="14" max="14" width="9" style="48" hidden="1" customWidth="1"/>
    <col min="15" max="16384" width="9" style="48"/>
  </cols>
  <sheetData>
    <row r="1" spans="1:14" s="1" customFormat="1" ht="16.2" thickBot="1">
      <c r="B1" s="1" t="s">
        <v>36</v>
      </c>
    </row>
    <row r="2" spans="1:14" s="1" customFormat="1" ht="16.2" thickBot="1">
      <c r="B2" s="476" t="s">
        <v>63</v>
      </c>
      <c r="C2" s="477"/>
      <c r="D2" s="477"/>
      <c r="E2" s="478"/>
      <c r="N2" s="63"/>
    </row>
    <row r="3" spans="1:14">
      <c r="N3" s="2" t="s">
        <v>32</v>
      </c>
    </row>
    <row r="4" spans="1:14" ht="22.5" customHeight="1">
      <c r="A4" s="49"/>
      <c r="B4" s="838" t="str">
        <f>IF(B2="English","Certificate of Non-use of prohibited Substance",IF(B2="中文","禁用物质不使用证明书","禁止物質不使用証明書"))</f>
        <v>Certificate of Non-use of prohibited Substance</v>
      </c>
      <c r="C4" s="839"/>
      <c r="D4" s="836" t="str">
        <f>'Certificate of Non-use'!B20</f>
        <v>9th</v>
      </c>
      <c r="N4" s="2" t="s">
        <v>31</v>
      </c>
    </row>
    <row r="5" spans="1:14">
      <c r="B5" s="840"/>
      <c r="C5" s="839"/>
      <c r="D5" s="837"/>
      <c r="J5" s="50" t="str">
        <f>IF(B2="English","Date",IF(B2="中文","发行日","発行日"))</f>
        <v>Date</v>
      </c>
      <c r="K5" s="51"/>
      <c r="N5" s="2" t="s">
        <v>33</v>
      </c>
    </row>
    <row r="6" spans="1:14" ht="25.05" customHeight="1">
      <c r="A6" s="824" t="str">
        <f>IF(B2="English","Certificate of Non-use List",IF(B2="中文","不使用证明书一览表","不使用証明書リスト"))</f>
        <v>Certificate of Non-use List</v>
      </c>
      <c r="B6" s="824"/>
      <c r="C6" s="824"/>
      <c r="D6" s="824"/>
      <c r="E6" s="824"/>
      <c r="F6" s="824"/>
      <c r="G6" s="824"/>
      <c r="H6" s="824"/>
      <c r="I6" s="824"/>
      <c r="J6" s="824"/>
      <c r="K6" s="824"/>
      <c r="L6" s="824"/>
    </row>
    <row r="7" spans="1:14" ht="26.25" customHeight="1">
      <c r="B7" s="834"/>
      <c r="C7" s="835"/>
      <c r="D7" s="835"/>
      <c r="E7" s="52"/>
    </row>
    <row r="8" spans="1:14" ht="30" customHeight="1">
      <c r="B8" s="53"/>
      <c r="C8" s="52"/>
      <c r="D8" s="54"/>
      <c r="F8" s="55"/>
      <c r="H8" s="58" t="str">
        <f>IF(B2="English","Company
 name",IF(B2="中文","公司名称","会社名"))</f>
        <v>Company
 name</v>
      </c>
      <c r="I8" s="832"/>
      <c r="J8" s="833"/>
      <c r="K8" s="833"/>
    </row>
    <row r="10" spans="1:14" ht="20.100000000000001" customHeight="1">
      <c r="B10" s="828" t="str">
        <f>IF(B2="English","Our part name 
or Manufacturer",IF(B2="中文","本公司品名","弊社品名"))</f>
        <v>Our part name 
or Manufacturer</v>
      </c>
      <c r="C10" s="828" t="str">
        <f>IF(B2="English","Our part number
or drawing number",IF(B2="中文","本公司品番号","弊社品番"))</f>
        <v>Our part number
or drawing number</v>
      </c>
      <c r="D10" s="830" t="str">
        <f>IF(B2="English","MinebeaMitsumi G 
part name",IF(B2="中文","美蓓亚三美G
品名","ミネベアミツミG
品名"))</f>
        <v>MinebeaMitsumi G 
part name</v>
      </c>
      <c r="E10" s="828" t="str">
        <f>IF(B2="English","MinebeaMitsumi G 
part No",IF(B2="中文","美蓓亚三美G
品番号","ミネベアミツミG
品番"))</f>
        <v>MinebeaMitsumi G 
part No</v>
      </c>
      <c r="F10" s="828" t="str">
        <f>IF(B2="English","MinebeaMitsumi G
Drawing No",IF(B2="中文","美蓓亚三美G
图番","ミネベアミツミG
図番"))</f>
        <v>MinebeaMitsumi G
Drawing No</v>
      </c>
      <c r="G10" s="828" t="str">
        <f>IF(B2="English","MinebeaMitsumi G
Item code",IF(B2="中文","美蓓亚三美G
条款编号","ミネベアミツミG
アイテムコード"))</f>
        <v>MinebeaMitsumi G
Item code</v>
      </c>
      <c r="H10" s="825" t="str">
        <f>IF(B2="English","RoHS directive Exemptions",IF(B2="中文","RoHS指令 适用除外用途","RoHS指令 適用除外用途"))</f>
        <v>RoHS directive Exemptions</v>
      </c>
      <c r="I10" s="826"/>
      <c r="J10" s="826"/>
      <c r="K10" s="827"/>
    </row>
    <row r="11" spans="1:14" ht="30" customHeight="1">
      <c r="B11" s="829"/>
      <c r="C11" s="829"/>
      <c r="D11" s="831"/>
      <c r="E11" s="829"/>
      <c r="F11" s="829"/>
      <c r="G11" s="829"/>
      <c r="H11" s="56" t="str">
        <f>IF(B2="English","Exemption
No.",IF(B2="中文","适用除外
编号","適用除外
No. "))</f>
        <v>Exemption
No.</v>
      </c>
      <c r="I11" s="57" t="str">
        <f>IF(B2="English","Substance name",IF(B2="中文","物质名称","物質名"))</f>
        <v>Substance name</v>
      </c>
      <c r="J11" s="57" t="s">
        <v>30</v>
      </c>
      <c r="K11" s="57" t="str">
        <f>IF(B2="English","Region",IF(B2="中文","部位","部位"))</f>
        <v>Region</v>
      </c>
    </row>
    <row r="12" spans="1:14" ht="26.25" customHeight="1">
      <c r="B12" s="64"/>
      <c r="C12" s="64"/>
      <c r="D12" s="65"/>
      <c r="E12" s="64"/>
      <c r="F12" s="64"/>
      <c r="G12" s="64"/>
      <c r="H12" s="64"/>
      <c r="I12" s="64"/>
      <c r="J12" s="64"/>
      <c r="K12" s="64"/>
    </row>
    <row r="13" spans="1:14" ht="26.25" customHeight="1">
      <c r="B13" s="66"/>
      <c r="C13" s="66"/>
      <c r="D13" s="67"/>
      <c r="E13" s="66"/>
      <c r="F13" s="64"/>
      <c r="G13" s="64"/>
      <c r="H13" s="64"/>
      <c r="I13" s="64"/>
      <c r="J13" s="64"/>
      <c r="K13" s="64"/>
    </row>
    <row r="14" spans="1:14" ht="26.25" customHeight="1">
      <c r="B14" s="66"/>
      <c r="C14" s="66"/>
      <c r="D14" s="67"/>
      <c r="E14" s="66"/>
      <c r="F14" s="64"/>
      <c r="G14" s="64"/>
      <c r="H14" s="64"/>
      <c r="I14" s="64"/>
      <c r="J14" s="64"/>
      <c r="K14" s="64"/>
    </row>
    <row r="15" spans="1:14" ht="26.25" customHeight="1">
      <c r="B15" s="66"/>
      <c r="C15" s="66"/>
      <c r="D15" s="67"/>
      <c r="E15" s="66"/>
      <c r="F15" s="64"/>
      <c r="G15" s="64"/>
      <c r="H15" s="64"/>
      <c r="I15" s="64"/>
      <c r="J15" s="64"/>
      <c r="K15" s="64"/>
    </row>
    <row r="16" spans="1:14" ht="26.25" customHeight="1">
      <c r="B16" s="66"/>
      <c r="C16" s="66"/>
      <c r="D16" s="67"/>
      <c r="E16" s="66"/>
      <c r="F16" s="64"/>
      <c r="G16" s="64"/>
      <c r="H16" s="64"/>
      <c r="I16" s="64"/>
      <c r="J16" s="64"/>
      <c r="K16" s="64"/>
    </row>
    <row r="17" spans="2:16" ht="26.25" customHeight="1">
      <c r="B17" s="66"/>
      <c r="C17" s="66"/>
      <c r="D17" s="67"/>
      <c r="E17" s="66"/>
      <c r="F17" s="64"/>
      <c r="G17" s="64"/>
      <c r="H17" s="64"/>
      <c r="I17" s="64"/>
      <c r="J17" s="64"/>
      <c r="K17" s="64"/>
    </row>
    <row r="18" spans="2:16" ht="26.25" customHeight="1">
      <c r="B18" s="66"/>
      <c r="C18" s="66"/>
      <c r="D18" s="67"/>
      <c r="E18" s="66"/>
      <c r="F18" s="64"/>
      <c r="G18" s="64"/>
      <c r="H18" s="64"/>
      <c r="I18" s="64"/>
      <c r="J18" s="64"/>
      <c r="K18" s="64"/>
    </row>
    <row r="19" spans="2:16" ht="26.25" customHeight="1">
      <c r="B19" s="66"/>
      <c r="C19" s="66"/>
      <c r="D19" s="67"/>
      <c r="E19" s="66"/>
      <c r="F19" s="64"/>
      <c r="G19" s="64"/>
      <c r="H19" s="64"/>
      <c r="I19" s="64"/>
      <c r="J19" s="64"/>
      <c r="K19" s="64"/>
    </row>
    <row r="20" spans="2:16" ht="26.25" customHeight="1">
      <c r="B20" s="68"/>
      <c r="C20" s="68"/>
      <c r="D20" s="69"/>
      <c r="E20" s="68"/>
      <c r="F20" s="68"/>
      <c r="G20" s="68"/>
      <c r="H20" s="68"/>
      <c r="I20" s="68"/>
      <c r="J20" s="68"/>
      <c r="K20" s="68"/>
    </row>
    <row r="21" spans="2:16" ht="26.25" customHeight="1">
      <c r="B21" s="68"/>
      <c r="C21" s="68"/>
      <c r="D21" s="69"/>
      <c r="E21" s="68"/>
      <c r="F21" s="68"/>
      <c r="G21" s="68"/>
      <c r="H21" s="68"/>
      <c r="I21" s="68"/>
      <c r="J21" s="68"/>
      <c r="K21" s="68"/>
    </row>
    <row r="22" spans="2:16" ht="26.25" customHeight="1">
      <c r="B22" s="68"/>
      <c r="C22" s="68"/>
      <c r="D22" s="69"/>
      <c r="E22" s="68"/>
      <c r="F22" s="68"/>
      <c r="G22" s="68"/>
      <c r="H22" s="68"/>
      <c r="I22" s="68"/>
      <c r="J22" s="68"/>
      <c r="K22" s="68"/>
    </row>
    <row r="23" spans="2:16" ht="26.25" customHeight="1">
      <c r="B23" s="68"/>
      <c r="C23" s="68"/>
      <c r="D23" s="69"/>
      <c r="E23" s="68"/>
      <c r="F23" s="68"/>
      <c r="G23" s="68"/>
      <c r="H23" s="68"/>
      <c r="I23" s="68"/>
      <c r="J23" s="68"/>
      <c r="K23" s="68"/>
    </row>
    <row r="24" spans="2:16" ht="26.25" customHeight="1">
      <c r="B24" s="68"/>
      <c r="C24" s="68"/>
      <c r="D24" s="69"/>
      <c r="E24" s="68"/>
      <c r="F24" s="68"/>
      <c r="G24" s="68"/>
      <c r="H24" s="68"/>
      <c r="I24" s="68"/>
      <c r="J24" s="68"/>
      <c r="K24" s="68"/>
    </row>
    <row r="25" spans="2:16" ht="26.25" customHeight="1">
      <c r="B25" s="68"/>
      <c r="C25" s="68"/>
      <c r="D25" s="69"/>
      <c r="E25" s="68"/>
      <c r="F25" s="68"/>
      <c r="G25" s="68"/>
      <c r="H25" s="68"/>
      <c r="I25" s="68"/>
      <c r="J25" s="68"/>
      <c r="K25" s="68"/>
    </row>
    <row r="26" spans="2:16" ht="26.25" customHeight="1">
      <c r="B26" s="68"/>
      <c r="C26" s="68"/>
      <c r="D26" s="69"/>
      <c r="E26" s="68"/>
      <c r="F26" s="68"/>
      <c r="G26" s="68"/>
      <c r="H26" s="68"/>
      <c r="I26" s="68"/>
      <c r="J26" s="68"/>
      <c r="K26" s="68"/>
    </row>
    <row r="27" spans="2:16" ht="26.25" customHeight="1">
      <c r="B27" s="68"/>
      <c r="C27" s="68"/>
      <c r="D27" s="69"/>
      <c r="E27" s="68"/>
      <c r="F27" s="68"/>
      <c r="G27" s="68"/>
      <c r="H27" s="68"/>
      <c r="I27" s="68"/>
      <c r="J27" s="68"/>
      <c r="K27" s="68"/>
    </row>
    <row r="28" spans="2:16" ht="26.25" customHeight="1">
      <c r="B28" s="68"/>
      <c r="C28" s="68"/>
      <c r="D28" s="69"/>
      <c r="E28" s="68"/>
      <c r="F28" s="68"/>
      <c r="G28" s="68"/>
      <c r="H28" s="68"/>
      <c r="I28" s="68"/>
      <c r="J28" s="68"/>
      <c r="K28" s="68"/>
    </row>
    <row r="29" spans="2:16" ht="26.25" customHeight="1">
      <c r="B29" s="68"/>
      <c r="C29" s="68"/>
      <c r="D29" s="69"/>
      <c r="E29" s="68"/>
      <c r="F29" s="68"/>
      <c r="G29" s="68"/>
      <c r="H29" s="68"/>
      <c r="I29" s="68"/>
      <c r="J29" s="68"/>
      <c r="K29" s="68"/>
    </row>
    <row r="30" spans="2:16" ht="26.25" customHeight="1">
      <c r="B30" s="68"/>
      <c r="C30" s="68"/>
      <c r="D30" s="69"/>
      <c r="E30" s="68"/>
      <c r="F30" s="68"/>
      <c r="G30" s="68"/>
      <c r="H30" s="68"/>
      <c r="I30" s="68"/>
      <c r="J30" s="68"/>
      <c r="K30" s="68"/>
    </row>
    <row r="31" spans="2:16">
      <c r="B31" s="52"/>
      <c r="C31" s="52"/>
      <c r="D31" s="52"/>
      <c r="E31" s="52"/>
      <c r="F31" s="52"/>
    </row>
    <row r="32" spans="2:16">
      <c r="B32" s="52" t="str">
        <f>IF(B2="English","＊Enter the RoHS directive exemption use only if it falls under the exemption.",IF(B2="中文","＊RoHS指令适用除外用途，仅在适用除外符合的情况下填写。","＊RoHS指令 適用除外用途は、適用除外に該当する場合のみ記入してください。"))</f>
        <v>＊Enter the RoHS directive exemption use only if it falls under the exemption.</v>
      </c>
      <c r="C32" s="52"/>
      <c r="D32" s="52"/>
      <c r="E32" s="52"/>
      <c r="F32" s="52"/>
      <c r="K32" s="52"/>
      <c r="L32" s="52"/>
      <c r="M32" s="52"/>
      <c r="N32" s="52"/>
      <c r="O32" s="52"/>
      <c r="P32" s="52"/>
    </row>
    <row r="33" spans="11:16">
      <c r="K33" s="41" t="s">
        <v>86</v>
      </c>
      <c r="L33" s="33"/>
      <c r="M33" s="33"/>
      <c r="N33" s="33"/>
      <c r="O33" s="33"/>
      <c r="P33" s="33"/>
    </row>
  </sheetData>
  <mergeCells count="13">
    <mergeCell ref="B2:E2"/>
    <mergeCell ref="A6:L6"/>
    <mergeCell ref="H10:K10"/>
    <mergeCell ref="B10:B11"/>
    <mergeCell ref="C10:C11"/>
    <mergeCell ref="D10:D11"/>
    <mergeCell ref="E10:E11"/>
    <mergeCell ref="I8:K8"/>
    <mergeCell ref="F10:F11"/>
    <mergeCell ref="G10:G11"/>
    <mergeCell ref="B7:D7"/>
    <mergeCell ref="D4:D5"/>
    <mergeCell ref="B4:C5"/>
  </mergeCells>
  <phoneticPr fontId="2"/>
  <dataValidations count="1">
    <dataValidation type="list" allowBlank="1" showInputMessage="1" showErrorMessage="1" sqref="B2:E2">
      <formula1>$N$3:$N$5</formula1>
    </dataValidation>
  </dataValidations>
  <pageMargins left="0.47244094488188981" right="0.35433070866141736" top="0.39370078740157483" bottom="0.39370078740157483" header="0.27559055118110237" footer="0.43307086614173229"/>
  <pageSetup paperSize="9" scale="8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C9BB2B33756224D8AC0FDB516C39FFD" ma:contentTypeVersion="2" ma:contentTypeDescription="新しいドキュメントを作成します。" ma:contentTypeScope="" ma:versionID="8969a0334227212f5db8ad3deb02f472">
  <xsd:schema xmlns:xsd="http://www.w3.org/2001/XMLSchema" xmlns:xs="http://www.w3.org/2001/XMLSchema" xmlns:p="http://schemas.microsoft.com/office/2006/metadata/properties" xmlns:ns2="d4001f7e-10e0-4b96-8c67-d495de16ca5d" targetNamespace="http://schemas.microsoft.com/office/2006/metadata/properties" ma:root="true" ma:fieldsID="f99871d9657904c8c97973dbbfa8262e" ns2:_="">
    <xsd:import namespace="d4001f7e-10e0-4b96-8c67-d495de16ca5d"/>
    <xsd:element name="properties">
      <xsd:complexType>
        <xsd:sequence>
          <xsd:element name="documentManagement">
            <xsd:complexType>
              <xsd:all>
                <xsd:element ref="ns2:_x65e5__x4ed8_" minOccurs="0"/>
                <xsd:element ref="ns2:_x5099__x800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001f7e-10e0-4b96-8c67-d495de16ca5d" elementFormDefault="qualified">
    <xsd:import namespace="http://schemas.microsoft.com/office/2006/documentManagement/types"/>
    <xsd:import namespace="http://schemas.microsoft.com/office/infopath/2007/PartnerControls"/>
    <xsd:element name="_x65e5__x4ed8_" ma:index="8" nillable="true" ma:displayName="掲載日 Date" ma:internalName="_x65e5__x4ed8_">
      <xsd:simpleType>
        <xsd:restriction base="dms:Text">
          <xsd:maxLength value="255"/>
        </xsd:restriction>
      </xsd:simpleType>
    </xsd:element>
    <xsd:element name="_x5099__x8003_" ma:index="9" nillable="true" ma:displayName="備考 Note" ma:internalName="_x5099__x8003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_x5099__x8003_ xmlns="d4001f7e-10e0-4b96-8c67-d495de16ca5d">本ファイルはイントラネット上で直接開くことはできません。本ファイルをダウンロードし、使用してください。</_x5099__x8003_>
    <_x65e5__x4ed8_ xmlns="d4001f7e-10e0-4b96-8c67-d495de16ca5d">2017/06/12</_x65e5__x4ed8_>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D32D75-E1F1-44CA-B370-4437AADD0CBC}">
  <ds:schemaRefs>
    <ds:schemaRef ds:uri="http://schemas.microsoft.com/office/2006/metadata/longProperties"/>
  </ds:schemaRefs>
</ds:datastoreItem>
</file>

<file path=customXml/itemProps2.xml><?xml version="1.0" encoding="utf-8"?>
<ds:datastoreItem xmlns:ds="http://schemas.openxmlformats.org/officeDocument/2006/customXml" ds:itemID="{571F8935-6D63-4FD5-B962-447AF1EA49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001f7e-10e0-4b96-8c67-d495de16ca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E6A90D-3140-49AD-A61B-F223D18FE53D}">
  <ds:schemaRefs>
    <ds:schemaRef ds:uri="http://schemas.microsoft.com/office/2006/documentManagement/types"/>
    <ds:schemaRef ds:uri="http://purl.org/dc/elements/1.1/"/>
    <ds:schemaRef ds:uri="http://www.w3.org/XML/1998/namespace"/>
    <ds:schemaRef ds:uri="http://schemas.microsoft.com/office/infopath/2007/PartnerControls"/>
    <ds:schemaRef ds:uri="d4001f7e-10e0-4b96-8c67-d495de16ca5d"/>
    <ds:schemaRef ds:uri="http://schemas.openxmlformats.org/package/2006/metadata/core-properties"/>
    <ds:schemaRef ds:uri="http://purl.org/dc/term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1C7AEB31-410C-4852-B97C-A1AA3E4A95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Certificate of Non-use</vt:lpstr>
      <vt:lpstr>Example_Japanese</vt:lpstr>
      <vt:lpstr>Example_English</vt:lpstr>
      <vt:lpstr>Example_Chinese</vt:lpstr>
      <vt:lpstr>Appendix 1 </vt:lpstr>
      <vt:lpstr>Example_Appendix 1</vt:lpstr>
      <vt:lpstr>Certificate of Non-use List</vt:lpstr>
      <vt:lpstr>'Appendix 1 '!Print_Area</vt:lpstr>
      <vt:lpstr>'Certificate of Non-use'!Print_Area</vt:lpstr>
      <vt:lpstr>'Certificate of Non-use List'!Print_Area</vt:lpstr>
      <vt:lpstr>'Example_Appendix 1'!Print_Area</vt:lpstr>
      <vt:lpstr>Example_Chinese!Print_Area</vt:lpstr>
      <vt:lpstr>Example_English!Print_Area</vt:lpstr>
      <vt:lpstr>Example_Japanese!Print_Area</vt:lpstr>
    </vt:vector>
  </TitlesOfParts>
  <Company>ミツミ電機（株）環境本部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一郎</dc:creator>
  <cp:lastModifiedBy>Seiya Watanabe</cp:lastModifiedBy>
  <cp:lastPrinted>2023-07-07T06:12:32Z</cp:lastPrinted>
  <dcterms:created xsi:type="dcterms:W3CDTF">2001-11-07T01:27:59Z</dcterms:created>
  <dcterms:modified xsi:type="dcterms:W3CDTF">2023-07-20T03:16:27Z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0x010100EC9BB2B33756224D8AC0FDB516C39FFD</vt:lpwstr>
  </property>
</Properties>
</file>